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eus\Share\ORGZ\ОБЩАЯ\2024\КОНКУРСЫ\МСЦ Зеленоград кап. ремонт (16319369) - 2 995, 4\"/>
    </mc:Choice>
  </mc:AlternateContent>
  <bookViews>
    <workbookView xWindow="0" yWindow="0" windowWidth="28800" windowHeight="12030"/>
  </bookViews>
  <sheets>
    <sheet name="Смета по ТСН-2001(с доп.43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ТСН-2001(с доп.43'!$35:$35</definedName>
    <definedName name="_xlnm.Print_Area" localSheetId="0">'Смета по ТСН-2001(с доп.43'!$A$1:$K$686</definedName>
  </definedNames>
  <calcPr calcId="162913" iterate="1"/>
</workbook>
</file>

<file path=xl/calcChain.xml><?xml version="1.0" encoding="utf-8"?>
<calcChain xmlns="http://schemas.openxmlformats.org/spreadsheetml/2006/main">
  <c r="H684" i="6" l="1"/>
  <c r="H681" i="6"/>
  <c r="C684" i="6"/>
  <c r="C681" i="6"/>
  <c r="J30" i="6"/>
  <c r="J27" i="6"/>
  <c r="J26" i="6"/>
  <c r="J25" i="6"/>
  <c r="J24" i="6"/>
  <c r="J23" i="6"/>
  <c r="I30" i="6"/>
  <c r="H678" i="6"/>
  <c r="J678" i="6"/>
  <c r="H677" i="6"/>
  <c r="J677" i="6"/>
  <c r="AQ676" i="6"/>
  <c r="A676" i="6"/>
  <c r="J674" i="6"/>
  <c r="C674" i="6"/>
  <c r="J673" i="6"/>
  <c r="C673" i="6"/>
  <c r="J672" i="6"/>
  <c r="C672" i="6"/>
  <c r="H671" i="6"/>
  <c r="J671" i="6"/>
  <c r="H670" i="6"/>
  <c r="J670" i="6"/>
  <c r="A669" i="6"/>
  <c r="H667" i="6"/>
  <c r="J667" i="6"/>
  <c r="H666" i="6"/>
  <c r="J666" i="6"/>
  <c r="A665" i="6"/>
  <c r="Z662" i="6"/>
  <c r="Y662" i="6"/>
  <c r="X662" i="6"/>
  <c r="K661" i="6"/>
  <c r="J661" i="6"/>
  <c r="I661" i="6"/>
  <c r="AA662" i="6" s="1"/>
  <c r="H661" i="6"/>
  <c r="G661" i="6"/>
  <c r="F661" i="6"/>
  <c r="V660" i="6"/>
  <c r="T660" i="6"/>
  <c r="R660" i="6"/>
  <c r="U660" i="6"/>
  <c r="S660" i="6"/>
  <c r="Q660" i="6"/>
  <c r="E660" i="6"/>
  <c r="D660" i="6"/>
  <c r="B660" i="6"/>
  <c r="Z658" i="6"/>
  <c r="Y658" i="6"/>
  <c r="X658" i="6"/>
  <c r="K657" i="6"/>
  <c r="P658" i="6" s="1"/>
  <c r="J657" i="6"/>
  <c r="I657" i="6"/>
  <c r="AA658" i="6" s="1"/>
  <c r="H657" i="6"/>
  <c r="G657" i="6"/>
  <c r="F657" i="6"/>
  <c r="V656" i="6"/>
  <c r="T656" i="6"/>
  <c r="R656" i="6"/>
  <c r="U656" i="6"/>
  <c r="S656" i="6"/>
  <c r="Q656" i="6"/>
  <c r="E656" i="6"/>
  <c r="D656" i="6"/>
  <c r="B656" i="6"/>
  <c r="AA654" i="6"/>
  <c r="Z654" i="6"/>
  <c r="Y654" i="6"/>
  <c r="J653" i="6"/>
  <c r="E653" i="6"/>
  <c r="K652" i="6"/>
  <c r="J652" i="6"/>
  <c r="I652" i="6"/>
  <c r="W652" i="6" s="1"/>
  <c r="H652" i="6"/>
  <c r="G652" i="6"/>
  <c r="F652" i="6"/>
  <c r="K651" i="6"/>
  <c r="J651" i="6"/>
  <c r="I651" i="6"/>
  <c r="H651" i="6"/>
  <c r="G651" i="6"/>
  <c r="F651" i="6"/>
  <c r="V650" i="6"/>
  <c r="K653" i="6" s="1"/>
  <c r="T650" i="6"/>
  <c r="R650" i="6"/>
  <c r="U650" i="6"/>
  <c r="I653" i="6" s="1"/>
  <c r="S650" i="6"/>
  <c r="Q650" i="6"/>
  <c r="E650" i="6"/>
  <c r="D650" i="6"/>
  <c r="B650" i="6"/>
  <c r="A649" i="6"/>
  <c r="H647" i="6"/>
  <c r="J647" i="6"/>
  <c r="H646" i="6"/>
  <c r="J646" i="6"/>
  <c r="A645" i="6"/>
  <c r="AA642" i="6"/>
  <c r="Z642" i="6"/>
  <c r="Y642" i="6"/>
  <c r="I641" i="6"/>
  <c r="AB641" i="6" s="1"/>
  <c r="H641" i="6"/>
  <c r="G641" i="6"/>
  <c r="E641" i="6"/>
  <c r="J640" i="6"/>
  <c r="E640" i="6"/>
  <c r="J639" i="6"/>
  <c r="E639" i="6"/>
  <c r="J638" i="6"/>
  <c r="E638" i="6"/>
  <c r="K637" i="6"/>
  <c r="J637" i="6"/>
  <c r="H637" i="6"/>
  <c r="AA637" i="6"/>
  <c r="Z637" i="6"/>
  <c r="Y637" i="6"/>
  <c r="I637" i="6"/>
  <c r="X637" i="6" s="1"/>
  <c r="F637" i="6"/>
  <c r="V637" i="6"/>
  <c r="T637" i="6"/>
  <c r="R637" i="6"/>
  <c r="U637" i="6"/>
  <c r="S637" i="6"/>
  <c r="Q637" i="6"/>
  <c r="E637" i="6"/>
  <c r="D637" i="6"/>
  <c r="B637" i="6"/>
  <c r="K636" i="6"/>
  <c r="J636" i="6"/>
  <c r="H636" i="6"/>
  <c r="AA636" i="6"/>
  <c r="Z636" i="6"/>
  <c r="Y636" i="6"/>
  <c r="I636" i="6"/>
  <c r="X636" i="6" s="1"/>
  <c r="F636" i="6"/>
  <c r="V636" i="6"/>
  <c r="T636" i="6"/>
  <c r="R636" i="6"/>
  <c r="U636" i="6"/>
  <c r="S636" i="6"/>
  <c r="Q636" i="6"/>
  <c r="E636" i="6"/>
  <c r="D636" i="6"/>
  <c r="B636" i="6"/>
  <c r="K635" i="6"/>
  <c r="J635" i="6"/>
  <c r="I635" i="6"/>
  <c r="H635" i="6"/>
  <c r="G635" i="6"/>
  <c r="F635" i="6"/>
  <c r="K634" i="6"/>
  <c r="J634" i="6"/>
  <c r="I634" i="6"/>
  <c r="W634" i="6" s="1"/>
  <c r="H634" i="6"/>
  <c r="G634" i="6"/>
  <c r="F634" i="6"/>
  <c r="K633" i="6"/>
  <c r="J633" i="6"/>
  <c r="I633" i="6"/>
  <c r="H633" i="6"/>
  <c r="G633" i="6"/>
  <c r="F633" i="6"/>
  <c r="K632" i="6"/>
  <c r="J632" i="6"/>
  <c r="I632" i="6"/>
  <c r="H632" i="6"/>
  <c r="G632" i="6"/>
  <c r="F632" i="6"/>
  <c r="C631" i="6"/>
  <c r="V630" i="6"/>
  <c r="T630" i="6"/>
  <c r="R630" i="6"/>
  <c r="U630" i="6"/>
  <c r="S630" i="6"/>
  <c r="Q630" i="6"/>
  <c r="E630" i="6"/>
  <c r="D630" i="6"/>
  <c r="B630" i="6"/>
  <c r="AA628" i="6"/>
  <c r="Z628" i="6"/>
  <c r="Y628" i="6"/>
  <c r="I627" i="6"/>
  <c r="AB627" i="6" s="1"/>
  <c r="H627" i="6"/>
  <c r="G627" i="6"/>
  <c r="E627" i="6"/>
  <c r="J626" i="6"/>
  <c r="E626" i="6"/>
  <c r="J625" i="6"/>
  <c r="E625" i="6"/>
  <c r="K624" i="6"/>
  <c r="J624" i="6"/>
  <c r="H624" i="6"/>
  <c r="AA624" i="6"/>
  <c r="Z624" i="6"/>
  <c r="Y624" i="6"/>
  <c r="I624" i="6"/>
  <c r="X624" i="6" s="1"/>
  <c r="F624" i="6"/>
  <c r="V624" i="6"/>
  <c r="T624" i="6"/>
  <c r="R624" i="6"/>
  <c r="U624" i="6"/>
  <c r="S624" i="6"/>
  <c r="Q624" i="6"/>
  <c r="E624" i="6"/>
  <c r="D624" i="6"/>
  <c r="B624" i="6"/>
  <c r="K623" i="6"/>
  <c r="J623" i="6"/>
  <c r="I623" i="6"/>
  <c r="H623" i="6"/>
  <c r="G623" i="6"/>
  <c r="F623" i="6"/>
  <c r="C622" i="6"/>
  <c r="V621" i="6"/>
  <c r="T621" i="6"/>
  <c r="K626" i="6" s="1"/>
  <c r="R621" i="6"/>
  <c r="K625" i="6" s="1"/>
  <c r="U621" i="6"/>
  <c r="S621" i="6"/>
  <c r="I626" i="6" s="1"/>
  <c r="Q621" i="6"/>
  <c r="E621" i="6"/>
  <c r="D621" i="6"/>
  <c r="B621" i="6"/>
  <c r="AA619" i="6"/>
  <c r="Z619" i="6"/>
  <c r="Y619" i="6"/>
  <c r="I618" i="6"/>
  <c r="AB618" i="6" s="1"/>
  <c r="H618" i="6"/>
  <c r="G618" i="6"/>
  <c r="E618" i="6"/>
  <c r="J617" i="6"/>
  <c r="E617" i="6"/>
  <c r="J616" i="6"/>
  <c r="E616" i="6"/>
  <c r="J615" i="6"/>
  <c r="E615" i="6"/>
  <c r="K614" i="6"/>
  <c r="J614" i="6"/>
  <c r="H614" i="6"/>
  <c r="AA614" i="6"/>
  <c r="Z614" i="6"/>
  <c r="Y614" i="6"/>
  <c r="I614" i="6"/>
  <c r="X614" i="6" s="1"/>
  <c r="F614" i="6"/>
  <c r="V614" i="6"/>
  <c r="T614" i="6"/>
  <c r="R614" i="6"/>
  <c r="U614" i="6"/>
  <c r="S614" i="6"/>
  <c r="Q614" i="6"/>
  <c r="E614" i="6"/>
  <c r="D614" i="6"/>
  <c r="B614" i="6"/>
  <c r="K613" i="6"/>
  <c r="J613" i="6"/>
  <c r="H613" i="6"/>
  <c r="AA613" i="6"/>
  <c r="Z613" i="6"/>
  <c r="Y613" i="6"/>
  <c r="I613" i="6"/>
  <c r="X613" i="6" s="1"/>
  <c r="F613" i="6"/>
  <c r="V613" i="6"/>
  <c r="T613" i="6"/>
  <c r="R613" i="6"/>
  <c r="U613" i="6"/>
  <c r="S613" i="6"/>
  <c r="Q613" i="6"/>
  <c r="E613" i="6"/>
  <c r="D613" i="6"/>
  <c r="B613" i="6"/>
  <c r="K612" i="6"/>
  <c r="J612" i="6"/>
  <c r="I612" i="6"/>
  <c r="H612" i="6"/>
  <c r="G612" i="6"/>
  <c r="F612" i="6"/>
  <c r="K611" i="6"/>
  <c r="J611" i="6"/>
  <c r="I611" i="6"/>
  <c r="W611" i="6" s="1"/>
  <c r="H611" i="6"/>
  <c r="G611" i="6"/>
  <c r="F611" i="6"/>
  <c r="K610" i="6"/>
  <c r="J610" i="6"/>
  <c r="I610" i="6"/>
  <c r="H610" i="6"/>
  <c r="G610" i="6"/>
  <c r="F610" i="6"/>
  <c r="K609" i="6"/>
  <c r="J609" i="6"/>
  <c r="I609" i="6"/>
  <c r="H609" i="6"/>
  <c r="G609" i="6"/>
  <c r="F609" i="6"/>
  <c r="C608" i="6"/>
  <c r="V607" i="6"/>
  <c r="T607" i="6"/>
  <c r="R607" i="6"/>
  <c r="U607" i="6"/>
  <c r="S607" i="6"/>
  <c r="Q607" i="6"/>
  <c r="E607" i="6"/>
  <c r="D607" i="6"/>
  <c r="B607" i="6"/>
  <c r="AA605" i="6"/>
  <c r="Z605" i="6"/>
  <c r="Y605" i="6"/>
  <c r="I604" i="6"/>
  <c r="AB604" i="6" s="1"/>
  <c r="H604" i="6"/>
  <c r="G604" i="6"/>
  <c r="E604" i="6"/>
  <c r="J603" i="6"/>
  <c r="E603" i="6"/>
  <c r="J602" i="6"/>
  <c r="E602" i="6"/>
  <c r="J601" i="6"/>
  <c r="E601" i="6"/>
  <c r="K600" i="6"/>
  <c r="J600" i="6"/>
  <c r="H600" i="6"/>
  <c r="AA600" i="6"/>
  <c r="Z600" i="6"/>
  <c r="Y600" i="6"/>
  <c r="I600" i="6"/>
  <c r="X600" i="6" s="1"/>
  <c r="F600" i="6"/>
  <c r="V600" i="6"/>
  <c r="T600" i="6"/>
  <c r="R600" i="6"/>
  <c r="U600" i="6"/>
  <c r="S600" i="6"/>
  <c r="Q600" i="6"/>
  <c r="E600" i="6"/>
  <c r="D600" i="6"/>
  <c r="B600" i="6"/>
  <c r="K599" i="6"/>
  <c r="J599" i="6"/>
  <c r="H599" i="6"/>
  <c r="AA599" i="6"/>
  <c r="Z599" i="6"/>
  <c r="Y599" i="6"/>
  <c r="I599" i="6"/>
  <c r="X599" i="6" s="1"/>
  <c r="F599" i="6"/>
  <c r="V599" i="6"/>
  <c r="T599" i="6"/>
  <c r="R599" i="6"/>
  <c r="U599" i="6"/>
  <c r="S599" i="6"/>
  <c r="Q599" i="6"/>
  <c r="E599" i="6"/>
  <c r="D599" i="6"/>
  <c r="B599" i="6"/>
  <c r="K598" i="6"/>
  <c r="J598" i="6"/>
  <c r="H598" i="6"/>
  <c r="AA598" i="6"/>
  <c r="Z598" i="6"/>
  <c r="Y598" i="6"/>
  <c r="I598" i="6"/>
  <c r="X598" i="6" s="1"/>
  <c r="F598" i="6"/>
  <c r="V598" i="6"/>
  <c r="T598" i="6"/>
  <c r="R598" i="6"/>
  <c r="U598" i="6"/>
  <c r="S598" i="6"/>
  <c r="Q598" i="6"/>
  <c r="E598" i="6"/>
  <c r="D598" i="6"/>
  <c r="B598" i="6"/>
  <c r="K597" i="6"/>
  <c r="J597" i="6"/>
  <c r="H597" i="6"/>
  <c r="AA597" i="6"/>
  <c r="Z597" i="6"/>
  <c r="Y597" i="6"/>
  <c r="I597" i="6"/>
  <c r="X597" i="6" s="1"/>
  <c r="F597" i="6"/>
  <c r="V597" i="6"/>
  <c r="T597" i="6"/>
  <c r="R597" i="6"/>
  <c r="U597" i="6"/>
  <c r="S597" i="6"/>
  <c r="Q597" i="6"/>
  <c r="E597" i="6"/>
  <c r="D597" i="6"/>
  <c r="B597" i="6"/>
  <c r="K596" i="6"/>
  <c r="J596" i="6"/>
  <c r="I596" i="6"/>
  <c r="H596" i="6"/>
  <c r="G596" i="6"/>
  <c r="F596" i="6"/>
  <c r="K595" i="6"/>
  <c r="J595" i="6"/>
  <c r="I595" i="6"/>
  <c r="W595" i="6" s="1"/>
  <c r="H595" i="6"/>
  <c r="G595" i="6"/>
  <c r="F595" i="6"/>
  <c r="K594" i="6"/>
  <c r="J594" i="6"/>
  <c r="I594" i="6"/>
  <c r="H594" i="6"/>
  <c r="G594" i="6"/>
  <c r="F594" i="6"/>
  <c r="K593" i="6"/>
  <c r="J593" i="6"/>
  <c r="I593" i="6"/>
  <c r="W593" i="6" s="1"/>
  <c r="H593" i="6"/>
  <c r="G593" i="6"/>
  <c r="F593" i="6"/>
  <c r="C592" i="6"/>
  <c r="V591" i="6"/>
  <c r="T591" i="6"/>
  <c r="R591" i="6"/>
  <c r="U591" i="6"/>
  <c r="S591" i="6"/>
  <c r="Q591" i="6"/>
  <c r="E591" i="6"/>
  <c r="D591" i="6"/>
  <c r="B591" i="6"/>
  <c r="AA589" i="6"/>
  <c r="Z589" i="6"/>
  <c r="Y589" i="6"/>
  <c r="I588" i="6"/>
  <c r="AB588" i="6" s="1"/>
  <c r="H588" i="6"/>
  <c r="G588" i="6"/>
  <c r="E588" i="6"/>
  <c r="K587" i="6"/>
  <c r="J587" i="6"/>
  <c r="E587" i="6"/>
  <c r="J586" i="6"/>
  <c r="E586" i="6"/>
  <c r="K585" i="6"/>
  <c r="J585" i="6"/>
  <c r="I585" i="6"/>
  <c r="H585" i="6"/>
  <c r="G585" i="6"/>
  <c r="F585" i="6"/>
  <c r="C584" i="6"/>
  <c r="V583" i="6"/>
  <c r="T583" i="6"/>
  <c r="R583" i="6"/>
  <c r="K586" i="6" s="1"/>
  <c r="U583" i="6"/>
  <c r="S583" i="6"/>
  <c r="I587" i="6" s="1"/>
  <c r="Q583" i="6"/>
  <c r="I586" i="6" s="1"/>
  <c r="E583" i="6"/>
  <c r="D583" i="6"/>
  <c r="B583" i="6"/>
  <c r="A582" i="6"/>
  <c r="H580" i="6"/>
  <c r="J580" i="6"/>
  <c r="H579" i="6"/>
  <c r="J579" i="6"/>
  <c r="A578" i="6"/>
  <c r="AA575" i="6"/>
  <c r="Z575" i="6"/>
  <c r="Y575" i="6"/>
  <c r="I574" i="6"/>
  <c r="AB574" i="6" s="1"/>
  <c r="H574" i="6"/>
  <c r="G574" i="6"/>
  <c r="E574" i="6"/>
  <c r="J573" i="6"/>
  <c r="E573" i="6"/>
  <c r="J572" i="6"/>
  <c r="E572" i="6"/>
  <c r="J571" i="6"/>
  <c r="E571" i="6"/>
  <c r="K570" i="6"/>
  <c r="J570" i="6"/>
  <c r="H570" i="6"/>
  <c r="AA570" i="6"/>
  <c r="Z570" i="6"/>
  <c r="Y570" i="6"/>
  <c r="I570" i="6"/>
  <c r="X570" i="6" s="1"/>
  <c r="F570" i="6"/>
  <c r="V570" i="6"/>
  <c r="T570" i="6"/>
  <c r="R570" i="6"/>
  <c r="U570" i="6"/>
  <c r="S570" i="6"/>
  <c r="Q570" i="6"/>
  <c r="E570" i="6"/>
  <c r="D570" i="6"/>
  <c r="B570" i="6"/>
  <c r="K569" i="6"/>
  <c r="J569" i="6"/>
  <c r="H569" i="6"/>
  <c r="AA569" i="6"/>
  <c r="Z569" i="6"/>
  <c r="Y569" i="6"/>
  <c r="I569" i="6"/>
  <c r="X569" i="6" s="1"/>
  <c r="F569" i="6"/>
  <c r="V569" i="6"/>
  <c r="T569" i="6"/>
  <c r="R569" i="6"/>
  <c r="U569" i="6"/>
  <c r="S569" i="6"/>
  <c r="Q569" i="6"/>
  <c r="E569" i="6"/>
  <c r="D569" i="6"/>
  <c r="B569" i="6"/>
  <c r="K568" i="6"/>
  <c r="J568" i="6"/>
  <c r="I568" i="6"/>
  <c r="H568" i="6"/>
  <c r="G568" i="6"/>
  <c r="F568" i="6"/>
  <c r="K567" i="6"/>
  <c r="J567" i="6"/>
  <c r="I567" i="6"/>
  <c r="W567" i="6" s="1"/>
  <c r="H567" i="6"/>
  <c r="G567" i="6"/>
  <c r="F567" i="6"/>
  <c r="K566" i="6"/>
  <c r="J566" i="6"/>
  <c r="I566" i="6"/>
  <c r="H566" i="6"/>
  <c r="G566" i="6"/>
  <c r="F566" i="6"/>
  <c r="K565" i="6"/>
  <c r="J565" i="6"/>
  <c r="I565" i="6"/>
  <c r="H565" i="6"/>
  <c r="G565" i="6"/>
  <c r="F565" i="6"/>
  <c r="C564" i="6"/>
  <c r="V563" i="6"/>
  <c r="T563" i="6"/>
  <c r="R563" i="6"/>
  <c r="U563" i="6"/>
  <c r="S563" i="6"/>
  <c r="Q563" i="6"/>
  <c r="E563" i="6"/>
  <c r="D563" i="6"/>
  <c r="B563" i="6"/>
  <c r="AA561" i="6"/>
  <c r="Z561" i="6"/>
  <c r="Y561" i="6"/>
  <c r="I560" i="6"/>
  <c r="AB560" i="6" s="1"/>
  <c r="H560" i="6"/>
  <c r="G560" i="6"/>
  <c r="E560" i="6"/>
  <c r="J559" i="6"/>
  <c r="E559" i="6"/>
  <c r="J558" i="6"/>
  <c r="E558" i="6"/>
  <c r="K557" i="6"/>
  <c r="J557" i="6"/>
  <c r="H557" i="6"/>
  <c r="AA557" i="6"/>
  <c r="Z557" i="6"/>
  <c r="Y557" i="6"/>
  <c r="I557" i="6"/>
  <c r="X557" i="6" s="1"/>
  <c r="F557" i="6"/>
  <c r="V557" i="6"/>
  <c r="T557" i="6"/>
  <c r="R557" i="6"/>
  <c r="U557" i="6"/>
  <c r="S557" i="6"/>
  <c r="Q557" i="6"/>
  <c r="E557" i="6"/>
  <c r="D557" i="6"/>
  <c r="B557" i="6"/>
  <c r="K556" i="6"/>
  <c r="J556" i="6"/>
  <c r="I556" i="6"/>
  <c r="H556" i="6"/>
  <c r="G556" i="6"/>
  <c r="F556" i="6"/>
  <c r="C555" i="6"/>
  <c r="V554" i="6"/>
  <c r="T554" i="6"/>
  <c r="K559" i="6" s="1"/>
  <c r="R554" i="6"/>
  <c r="K558" i="6" s="1"/>
  <c r="U554" i="6"/>
  <c r="S554" i="6"/>
  <c r="I559" i="6" s="1"/>
  <c r="Q554" i="6"/>
  <c r="E554" i="6"/>
  <c r="D554" i="6"/>
  <c r="B554" i="6"/>
  <c r="AA552" i="6"/>
  <c r="Z552" i="6"/>
  <c r="Y552" i="6"/>
  <c r="I551" i="6"/>
  <c r="AB551" i="6" s="1"/>
  <c r="H551" i="6"/>
  <c r="G551" i="6"/>
  <c r="E551" i="6"/>
  <c r="J550" i="6"/>
  <c r="E550" i="6"/>
  <c r="J549" i="6"/>
  <c r="E549" i="6"/>
  <c r="J548" i="6"/>
  <c r="E548" i="6"/>
  <c r="K547" i="6"/>
  <c r="J547" i="6"/>
  <c r="H547" i="6"/>
  <c r="AA547" i="6"/>
  <c r="Z547" i="6"/>
  <c r="Y547" i="6"/>
  <c r="I547" i="6"/>
  <c r="X547" i="6" s="1"/>
  <c r="F547" i="6"/>
  <c r="V547" i="6"/>
  <c r="T547" i="6"/>
  <c r="R547" i="6"/>
  <c r="U547" i="6"/>
  <c r="S547" i="6"/>
  <c r="Q547" i="6"/>
  <c r="E547" i="6"/>
  <c r="D547" i="6"/>
  <c r="B547" i="6"/>
  <c r="K546" i="6"/>
  <c r="J546" i="6"/>
  <c r="I546" i="6"/>
  <c r="H546" i="6"/>
  <c r="G546" i="6"/>
  <c r="F546" i="6"/>
  <c r="K545" i="6"/>
  <c r="J545" i="6"/>
  <c r="I545" i="6"/>
  <c r="W545" i="6" s="1"/>
  <c r="H545" i="6"/>
  <c r="G545" i="6"/>
  <c r="F545" i="6"/>
  <c r="K544" i="6"/>
  <c r="J544" i="6"/>
  <c r="I544" i="6"/>
  <c r="H544" i="6"/>
  <c r="G544" i="6"/>
  <c r="F544" i="6"/>
  <c r="K543" i="6"/>
  <c r="J543" i="6"/>
  <c r="I543" i="6"/>
  <c r="H543" i="6"/>
  <c r="G543" i="6"/>
  <c r="F543" i="6"/>
  <c r="V542" i="6"/>
  <c r="T542" i="6"/>
  <c r="R542" i="6"/>
  <c r="U542" i="6"/>
  <c r="S542" i="6"/>
  <c r="Q542" i="6"/>
  <c r="E542" i="6"/>
  <c r="D542" i="6"/>
  <c r="B542" i="6"/>
  <c r="AA540" i="6"/>
  <c r="Z540" i="6"/>
  <c r="Y540" i="6"/>
  <c r="I539" i="6"/>
  <c r="AB539" i="6" s="1"/>
  <c r="H539" i="6"/>
  <c r="G539" i="6"/>
  <c r="E539" i="6"/>
  <c r="J538" i="6"/>
  <c r="E538" i="6"/>
  <c r="J537" i="6"/>
  <c r="E537" i="6"/>
  <c r="J536" i="6"/>
  <c r="E536" i="6"/>
  <c r="K535" i="6"/>
  <c r="J535" i="6"/>
  <c r="H535" i="6"/>
  <c r="AA535" i="6"/>
  <c r="Z535" i="6"/>
  <c r="Y535" i="6"/>
  <c r="I535" i="6"/>
  <c r="X535" i="6" s="1"/>
  <c r="F535" i="6"/>
  <c r="V535" i="6"/>
  <c r="T535" i="6"/>
  <c r="R535" i="6"/>
  <c r="U535" i="6"/>
  <c r="S535" i="6"/>
  <c r="Q535" i="6"/>
  <c r="E535" i="6"/>
  <c r="D535" i="6"/>
  <c r="B535" i="6"/>
  <c r="K534" i="6"/>
  <c r="J534" i="6"/>
  <c r="I534" i="6"/>
  <c r="H534" i="6"/>
  <c r="G534" i="6"/>
  <c r="F534" i="6"/>
  <c r="K533" i="6"/>
  <c r="J533" i="6"/>
  <c r="I533" i="6"/>
  <c r="W533" i="6" s="1"/>
  <c r="H533" i="6"/>
  <c r="G533" i="6"/>
  <c r="F533" i="6"/>
  <c r="K532" i="6"/>
  <c r="J532" i="6"/>
  <c r="I532" i="6"/>
  <c r="H532" i="6"/>
  <c r="G532" i="6"/>
  <c r="F532" i="6"/>
  <c r="K531" i="6"/>
  <c r="J531" i="6"/>
  <c r="I531" i="6"/>
  <c r="W531" i="6" s="1"/>
  <c r="H531" i="6"/>
  <c r="G531" i="6"/>
  <c r="F531" i="6"/>
  <c r="C530" i="6"/>
  <c r="V529" i="6"/>
  <c r="T529" i="6"/>
  <c r="R529" i="6"/>
  <c r="U529" i="6"/>
  <c r="I538" i="6" s="1"/>
  <c r="S529" i="6"/>
  <c r="Q529" i="6"/>
  <c r="E529" i="6"/>
  <c r="D529" i="6"/>
  <c r="B529" i="6"/>
  <c r="AA527" i="6"/>
  <c r="Z527" i="6"/>
  <c r="Y527" i="6"/>
  <c r="I526" i="6"/>
  <c r="AB526" i="6" s="1"/>
  <c r="H526" i="6"/>
  <c r="G526" i="6"/>
  <c r="E526" i="6"/>
  <c r="J525" i="6"/>
  <c r="E525" i="6"/>
  <c r="J524" i="6"/>
  <c r="E524" i="6"/>
  <c r="J523" i="6"/>
  <c r="E523" i="6"/>
  <c r="K522" i="6"/>
  <c r="J522" i="6"/>
  <c r="I522" i="6"/>
  <c r="W522" i="6" s="1"/>
  <c r="H522" i="6"/>
  <c r="G522" i="6"/>
  <c r="F522" i="6"/>
  <c r="K521" i="6"/>
  <c r="J521" i="6"/>
  <c r="I521" i="6"/>
  <c r="H521" i="6"/>
  <c r="G521" i="6"/>
  <c r="F521" i="6"/>
  <c r="K520" i="6"/>
  <c r="J520" i="6"/>
  <c r="I520" i="6"/>
  <c r="H520" i="6"/>
  <c r="G520" i="6"/>
  <c r="F520" i="6"/>
  <c r="C519" i="6"/>
  <c r="V518" i="6"/>
  <c r="K525" i="6" s="1"/>
  <c r="T518" i="6"/>
  <c r="K524" i="6" s="1"/>
  <c r="R518" i="6"/>
  <c r="K523" i="6" s="1"/>
  <c r="U518" i="6"/>
  <c r="I525" i="6" s="1"/>
  <c r="S518" i="6"/>
  <c r="I524" i="6" s="1"/>
  <c r="Q518" i="6"/>
  <c r="I523" i="6" s="1"/>
  <c r="E518" i="6"/>
  <c r="D518" i="6"/>
  <c r="B518" i="6"/>
  <c r="A517" i="6"/>
  <c r="H515" i="6"/>
  <c r="J515" i="6"/>
  <c r="H514" i="6"/>
  <c r="J514" i="6"/>
  <c r="A513" i="6"/>
  <c r="AA510" i="6"/>
  <c r="Z510" i="6"/>
  <c r="Y510" i="6"/>
  <c r="I509" i="6"/>
  <c r="AB509" i="6" s="1"/>
  <c r="H509" i="6"/>
  <c r="G509" i="6"/>
  <c r="E509" i="6"/>
  <c r="J508" i="6"/>
  <c r="E508" i="6"/>
  <c r="J507" i="6"/>
  <c r="E507" i="6"/>
  <c r="J506" i="6"/>
  <c r="E506" i="6"/>
  <c r="K505" i="6"/>
  <c r="J505" i="6"/>
  <c r="H505" i="6"/>
  <c r="AA505" i="6"/>
  <c r="Z505" i="6"/>
  <c r="Y505" i="6"/>
  <c r="I505" i="6"/>
  <c r="X505" i="6" s="1"/>
  <c r="F505" i="6"/>
  <c r="V505" i="6"/>
  <c r="T505" i="6"/>
  <c r="R505" i="6"/>
  <c r="U505" i="6"/>
  <c r="S505" i="6"/>
  <c r="Q505" i="6"/>
  <c r="E505" i="6"/>
  <c r="D505" i="6"/>
  <c r="B505" i="6"/>
  <c r="K504" i="6"/>
  <c r="J504" i="6"/>
  <c r="I504" i="6"/>
  <c r="H504" i="6"/>
  <c r="G504" i="6"/>
  <c r="F504" i="6"/>
  <c r="K503" i="6"/>
  <c r="J503" i="6"/>
  <c r="I503" i="6"/>
  <c r="W503" i="6" s="1"/>
  <c r="H503" i="6"/>
  <c r="G503" i="6"/>
  <c r="F503" i="6"/>
  <c r="K502" i="6"/>
  <c r="J502" i="6"/>
  <c r="I502" i="6"/>
  <c r="H502" i="6"/>
  <c r="G502" i="6"/>
  <c r="F502" i="6"/>
  <c r="K501" i="6"/>
  <c r="J501" i="6"/>
  <c r="I501" i="6"/>
  <c r="W501" i="6" s="1"/>
  <c r="H501" i="6"/>
  <c r="G501" i="6"/>
  <c r="F501" i="6"/>
  <c r="C500" i="6"/>
  <c r="V499" i="6"/>
  <c r="T499" i="6"/>
  <c r="R499" i="6"/>
  <c r="U499" i="6"/>
  <c r="I508" i="6" s="1"/>
  <c r="S499" i="6"/>
  <c r="Q499" i="6"/>
  <c r="E499" i="6"/>
  <c r="D499" i="6"/>
  <c r="B499" i="6"/>
  <c r="AA497" i="6"/>
  <c r="Z497" i="6"/>
  <c r="Y497" i="6"/>
  <c r="I496" i="6"/>
  <c r="AB496" i="6" s="1"/>
  <c r="H496" i="6"/>
  <c r="G496" i="6"/>
  <c r="E496" i="6"/>
  <c r="J495" i="6"/>
  <c r="E495" i="6"/>
  <c r="J494" i="6"/>
  <c r="E494" i="6"/>
  <c r="J493" i="6"/>
  <c r="E493" i="6"/>
  <c r="K492" i="6"/>
  <c r="J492" i="6"/>
  <c r="H492" i="6"/>
  <c r="AA492" i="6"/>
  <c r="Z492" i="6"/>
  <c r="Y492" i="6"/>
  <c r="I492" i="6"/>
  <c r="X492" i="6" s="1"/>
  <c r="F492" i="6"/>
  <c r="V492" i="6"/>
  <c r="T492" i="6"/>
  <c r="R492" i="6"/>
  <c r="U492" i="6"/>
  <c r="S492" i="6"/>
  <c r="Q492" i="6"/>
  <c r="E492" i="6"/>
  <c r="D492" i="6"/>
  <c r="B492" i="6"/>
  <c r="K491" i="6"/>
  <c r="J491" i="6"/>
  <c r="I491" i="6"/>
  <c r="H491" i="6"/>
  <c r="G491" i="6"/>
  <c r="F491" i="6"/>
  <c r="K490" i="6"/>
  <c r="J490" i="6"/>
  <c r="I490" i="6"/>
  <c r="W490" i="6" s="1"/>
  <c r="H490" i="6"/>
  <c r="G490" i="6"/>
  <c r="F490" i="6"/>
  <c r="K489" i="6"/>
  <c r="J489" i="6"/>
  <c r="I489" i="6"/>
  <c r="H489" i="6"/>
  <c r="G489" i="6"/>
  <c r="F489" i="6"/>
  <c r="K488" i="6"/>
  <c r="J488" i="6"/>
  <c r="I488" i="6"/>
  <c r="H488" i="6"/>
  <c r="G488" i="6"/>
  <c r="F488" i="6"/>
  <c r="C487" i="6"/>
  <c r="V486" i="6"/>
  <c r="T486" i="6"/>
  <c r="R486" i="6"/>
  <c r="K493" i="6" s="1"/>
  <c r="U486" i="6"/>
  <c r="S486" i="6"/>
  <c r="Q486" i="6"/>
  <c r="E486" i="6"/>
  <c r="D486" i="6"/>
  <c r="B486" i="6"/>
  <c r="AA484" i="6"/>
  <c r="Z484" i="6"/>
  <c r="Y484" i="6"/>
  <c r="I483" i="6"/>
  <c r="AB483" i="6" s="1"/>
  <c r="H483" i="6"/>
  <c r="G483" i="6"/>
  <c r="E483" i="6"/>
  <c r="J482" i="6"/>
  <c r="E482" i="6"/>
  <c r="J481" i="6"/>
  <c r="E481" i="6"/>
  <c r="J480" i="6"/>
  <c r="E480" i="6"/>
  <c r="K479" i="6"/>
  <c r="J479" i="6"/>
  <c r="H479" i="6"/>
  <c r="AA479" i="6"/>
  <c r="Z479" i="6"/>
  <c r="Y479" i="6"/>
  <c r="I479" i="6"/>
  <c r="X479" i="6" s="1"/>
  <c r="F479" i="6"/>
  <c r="V479" i="6"/>
  <c r="T479" i="6"/>
  <c r="R479" i="6"/>
  <c r="U479" i="6"/>
  <c r="S479" i="6"/>
  <c r="Q479" i="6"/>
  <c r="E479" i="6"/>
  <c r="D479" i="6"/>
  <c r="B479" i="6"/>
  <c r="K478" i="6"/>
  <c r="J478" i="6"/>
  <c r="H478" i="6"/>
  <c r="AA478" i="6"/>
  <c r="Z478" i="6"/>
  <c r="Y478" i="6"/>
  <c r="I478" i="6"/>
  <c r="X478" i="6" s="1"/>
  <c r="F478" i="6"/>
  <c r="V478" i="6"/>
  <c r="T478" i="6"/>
  <c r="R478" i="6"/>
  <c r="U478" i="6"/>
  <c r="S478" i="6"/>
  <c r="Q478" i="6"/>
  <c r="E478" i="6"/>
  <c r="D478" i="6"/>
  <c r="B478" i="6"/>
  <c r="K477" i="6"/>
  <c r="J477" i="6"/>
  <c r="I477" i="6"/>
  <c r="H477" i="6"/>
  <c r="G477" i="6"/>
  <c r="F477" i="6"/>
  <c r="K476" i="6"/>
  <c r="J476" i="6"/>
  <c r="I476" i="6"/>
  <c r="W476" i="6" s="1"/>
  <c r="H476" i="6"/>
  <c r="G476" i="6"/>
  <c r="F476" i="6"/>
  <c r="K475" i="6"/>
  <c r="J475" i="6"/>
  <c r="I475" i="6"/>
  <c r="H475" i="6"/>
  <c r="G475" i="6"/>
  <c r="F475" i="6"/>
  <c r="K474" i="6"/>
  <c r="J474" i="6"/>
  <c r="I474" i="6"/>
  <c r="W474" i="6" s="1"/>
  <c r="H474" i="6"/>
  <c r="G474" i="6"/>
  <c r="F474" i="6"/>
  <c r="C473" i="6"/>
  <c r="V472" i="6"/>
  <c r="T472" i="6"/>
  <c r="R472" i="6"/>
  <c r="U472" i="6"/>
  <c r="S472" i="6"/>
  <c r="Q472" i="6"/>
  <c r="E472" i="6"/>
  <c r="D472" i="6"/>
  <c r="B472" i="6"/>
  <c r="AA470" i="6"/>
  <c r="Z470" i="6"/>
  <c r="Y470" i="6"/>
  <c r="I469" i="6"/>
  <c r="AB469" i="6" s="1"/>
  <c r="H469" i="6"/>
  <c r="G469" i="6"/>
  <c r="E469" i="6"/>
  <c r="J468" i="6"/>
  <c r="E468" i="6"/>
  <c r="J467" i="6"/>
  <c r="E467" i="6"/>
  <c r="J466" i="6"/>
  <c r="E466" i="6"/>
  <c r="K465" i="6"/>
  <c r="J465" i="6"/>
  <c r="H465" i="6"/>
  <c r="AA465" i="6"/>
  <c r="Z465" i="6"/>
  <c r="Y465" i="6"/>
  <c r="I465" i="6"/>
  <c r="X465" i="6" s="1"/>
  <c r="F465" i="6"/>
  <c r="V465" i="6"/>
  <c r="T465" i="6"/>
  <c r="R465" i="6"/>
  <c r="U465" i="6"/>
  <c r="S465" i="6"/>
  <c r="Q465" i="6"/>
  <c r="E465" i="6"/>
  <c r="D465" i="6"/>
  <c r="B465" i="6"/>
  <c r="K464" i="6"/>
  <c r="J464" i="6"/>
  <c r="H464" i="6"/>
  <c r="AA464" i="6"/>
  <c r="Z464" i="6"/>
  <c r="Y464" i="6"/>
  <c r="I464" i="6"/>
  <c r="X464" i="6" s="1"/>
  <c r="F464" i="6"/>
  <c r="V464" i="6"/>
  <c r="T464" i="6"/>
  <c r="R464" i="6"/>
  <c r="U464" i="6"/>
  <c r="S464" i="6"/>
  <c r="Q464" i="6"/>
  <c r="E464" i="6"/>
  <c r="D464" i="6"/>
  <c r="B464" i="6"/>
  <c r="K463" i="6"/>
  <c r="J463" i="6"/>
  <c r="I463" i="6"/>
  <c r="H463" i="6"/>
  <c r="G463" i="6"/>
  <c r="F463" i="6"/>
  <c r="K462" i="6"/>
  <c r="J462" i="6"/>
  <c r="I462" i="6"/>
  <c r="W462" i="6" s="1"/>
  <c r="H462" i="6"/>
  <c r="G462" i="6"/>
  <c r="F462" i="6"/>
  <c r="K461" i="6"/>
  <c r="J461" i="6"/>
  <c r="I461" i="6"/>
  <c r="H461" i="6"/>
  <c r="G461" i="6"/>
  <c r="F461" i="6"/>
  <c r="K460" i="6"/>
  <c r="J460" i="6"/>
  <c r="I460" i="6"/>
  <c r="H460" i="6"/>
  <c r="G460" i="6"/>
  <c r="F460" i="6"/>
  <c r="C459" i="6"/>
  <c r="V458" i="6"/>
  <c r="T458" i="6"/>
  <c r="R458" i="6"/>
  <c r="U458" i="6"/>
  <c r="S458" i="6"/>
  <c r="Q458" i="6"/>
  <c r="E458" i="6"/>
  <c r="D458" i="6"/>
  <c r="B458" i="6"/>
  <c r="AA456" i="6"/>
  <c r="Z456" i="6"/>
  <c r="Y456" i="6"/>
  <c r="I455" i="6"/>
  <c r="AB455" i="6" s="1"/>
  <c r="H455" i="6"/>
  <c r="G455" i="6"/>
  <c r="E455" i="6"/>
  <c r="J454" i="6"/>
  <c r="E454" i="6"/>
  <c r="J453" i="6"/>
  <c r="E453" i="6"/>
  <c r="J452" i="6"/>
  <c r="E452" i="6"/>
  <c r="K451" i="6"/>
  <c r="J451" i="6"/>
  <c r="H451" i="6"/>
  <c r="AA451" i="6"/>
  <c r="Z451" i="6"/>
  <c r="Y451" i="6"/>
  <c r="I451" i="6"/>
  <c r="X451" i="6" s="1"/>
  <c r="F451" i="6"/>
  <c r="V451" i="6"/>
  <c r="T451" i="6"/>
  <c r="R451" i="6"/>
  <c r="U451" i="6"/>
  <c r="S451" i="6"/>
  <c r="Q451" i="6"/>
  <c r="E451" i="6"/>
  <c r="D451" i="6"/>
  <c r="B451" i="6"/>
  <c r="K450" i="6"/>
  <c r="J450" i="6"/>
  <c r="H450" i="6"/>
  <c r="AA450" i="6"/>
  <c r="Z450" i="6"/>
  <c r="Y450" i="6"/>
  <c r="I450" i="6"/>
  <c r="X450" i="6" s="1"/>
  <c r="F450" i="6"/>
  <c r="V450" i="6"/>
  <c r="T450" i="6"/>
  <c r="R450" i="6"/>
  <c r="U450" i="6"/>
  <c r="S450" i="6"/>
  <c r="Q450" i="6"/>
  <c r="E450" i="6"/>
  <c r="D450" i="6"/>
  <c r="B450" i="6"/>
  <c r="K449" i="6"/>
  <c r="J449" i="6"/>
  <c r="H449" i="6"/>
  <c r="AA449" i="6"/>
  <c r="Z449" i="6"/>
  <c r="Y449" i="6"/>
  <c r="I449" i="6"/>
  <c r="X449" i="6" s="1"/>
  <c r="F449" i="6"/>
  <c r="V449" i="6"/>
  <c r="T449" i="6"/>
  <c r="R449" i="6"/>
  <c r="U449" i="6"/>
  <c r="S449" i="6"/>
  <c r="Q449" i="6"/>
  <c r="E449" i="6"/>
  <c r="D449" i="6"/>
  <c r="B449" i="6"/>
  <c r="K448" i="6"/>
  <c r="J448" i="6"/>
  <c r="I448" i="6"/>
  <c r="H448" i="6"/>
  <c r="G448" i="6"/>
  <c r="F448" i="6"/>
  <c r="K447" i="6"/>
  <c r="J447" i="6"/>
  <c r="I447" i="6"/>
  <c r="W447" i="6" s="1"/>
  <c r="H447" i="6"/>
  <c r="G447" i="6"/>
  <c r="F447" i="6"/>
  <c r="K446" i="6"/>
  <c r="J446" i="6"/>
  <c r="I446" i="6"/>
  <c r="H446" i="6"/>
  <c r="G446" i="6"/>
  <c r="F446" i="6"/>
  <c r="K445" i="6"/>
  <c r="J445" i="6"/>
  <c r="I445" i="6"/>
  <c r="W445" i="6" s="1"/>
  <c r="H445" i="6"/>
  <c r="G445" i="6"/>
  <c r="F445" i="6"/>
  <c r="C444" i="6"/>
  <c r="V443" i="6"/>
  <c r="T443" i="6"/>
  <c r="R443" i="6"/>
  <c r="U443" i="6"/>
  <c r="S443" i="6"/>
  <c r="Q443" i="6"/>
  <c r="E443" i="6"/>
  <c r="D443" i="6"/>
  <c r="B443" i="6"/>
  <c r="AA441" i="6"/>
  <c r="Z441" i="6"/>
  <c r="Y441" i="6"/>
  <c r="I440" i="6"/>
  <c r="AB440" i="6" s="1"/>
  <c r="H440" i="6"/>
  <c r="G440" i="6"/>
  <c r="E440" i="6"/>
  <c r="J439" i="6"/>
  <c r="E439" i="6"/>
  <c r="J438" i="6"/>
  <c r="E438" i="6"/>
  <c r="J437" i="6"/>
  <c r="E437" i="6"/>
  <c r="K436" i="6"/>
  <c r="J436" i="6"/>
  <c r="H436" i="6"/>
  <c r="AA436" i="6"/>
  <c r="Z436" i="6"/>
  <c r="Y436" i="6"/>
  <c r="I436" i="6"/>
  <c r="X436" i="6" s="1"/>
  <c r="F436" i="6"/>
  <c r="V436" i="6"/>
  <c r="T436" i="6"/>
  <c r="R436" i="6"/>
  <c r="U436" i="6"/>
  <c r="S436" i="6"/>
  <c r="Q436" i="6"/>
  <c r="E436" i="6"/>
  <c r="D436" i="6"/>
  <c r="B436" i="6"/>
  <c r="K435" i="6"/>
  <c r="J435" i="6"/>
  <c r="H435" i="6"/>
  <c r="AA435" i="6"/>
  <c r="Z435" i="6"/>
  <c r="Y435" i="6"/>
  <c r="I435" i="6"/>
  <c r="X435" i="6" s="1"/>
  <c r="F435" i="6"/>
  <c r="V435" i="6"/>
  <c r="T435" i="6"/>
  <c r="R435" i="6"/>
  <c r="U435" i="6"/>
  <c r="S435" i="6"/>
  <c r="Q435" i="6"/>
  <c r="E435" i="6"/>
  <c r="D435" i="6"/>
  <c r="B435" i="6"/>
  <c r="K434" i="6"/>
  <c r="J434" i="6"/>
  <c r="H434" i="6"/>
  <c r="AA434" i="6"/>
  <c r="Z434" i="6"/>
  <c r="Y434" i="6"/>
  <c r="I434" i="6"/>
  <c r="X434" i="6" s="1"/>
  <c r="F434" i="6"/>
  <c r="V434" i="6"/>
  <c r="T434" i="6"/>
  <c r="R434" i="6"/>
  <c r="U434" i="6"/>
  <c r="S434" i="6"/>
  <c r="Q434" i="6"/>
  <c r="E434" i="6"/>
  <c r="D434" i="6"/>
  <c r="B434" i="6"/>
  <c r="K433" i="6"/>
  <c r="J433" i="6"/>
  <c r="I433" i="6"/>
  <c r="H433" i="6"/>
  <c r="G433" i="6"/>
  <c r="F433" i="6"/>
  <c r="K432" i="6"/>
  <c r="J432" i="6"/>
  <c r="I432" i="6"/>
  <c r="W432" i="6" s="1"/>
  <c r="H432" i="6"/>
  <c r="G432" i="6"/>
  <c r="F432" i="6"/>
  <c r="K431" i="6"/>
  <c r="J431" i="6"/>
  <c r="I431" i="6"/>
  <c r="H431" i="6"/>
  <c r="G431" i="6"/>
  <c r="F431" i="6"/>
  <c r="K430" i="6"/>
  <c r="J430" i="6"/>
  <c r="I430" i="6"/>
  <c r="W430" i="6" s="1"/>
  <c r="H430" i="6"/>
  <c r="G430" i="6"/>
  <c r="F430" i="6"/>
  <c r="C429" i="6"/>
  <c r="V428" i="6"/>
  <c r="T428" i="6"/>
  <c r="R428" i="6"/>
  <c r="U428" i="6"/>
  <c r="S428" i="6"/>
  <c r="Q428" i="6"/>
  <c r="E428" i="6"/>
  <c r="D428" i="6"/>
  <c r="B428" i="6"/>
  <c r="AA426" i="6"/>
  <c r="Z426" i="6"/>
  <c r="Y426" i="6"/>
  <c r="I425" i="6"/>
  <c r="AB425" i="6" s="1"/>
  <c r="H425" i="6"/>
  <c r="G425" i="6"/>
  <c r="E425" i="6"/>
  <c r="J424" i="6"/>
  <c r="E424" i="6"/>
  <c r="J423" i="6"/>
  <c r="E423" i="6"/>
  <c r="J422" i="6"/>
  <c r="E422" i="6"/>
  <c r="K421" i="6"/>
  <c r="J421" i="6"/>
  <c r="H421" i="6"/>
  <c r="AA421" i="6"/>
  <c r="Z421" i="6"/>
  <c r="Y421" i="6"/>
  <c r="I421" i="6"/>
  <c r="X421" i="6" s="1"/>
  <c r="F421" i="6"/>
  <c r="V421" i="6"/>
  <c r="T421" i="6"/>
  <c r="R421" i="6"/>
  <c r="U421" i="6"/>
  <c r="S421" i="6"/>
  <c r="Q421" i="6"/>
  <c r="E421" i="6"/>
  <c r="D421" i="6"/>
  <c r="B421" i="6"/>
  <c r="K420" i="6"/>
  <c r="J420" i="6"/>
  <c r="H420" i="6"/>
  <c r="AA420" i="6"/>
  <c r="Z420" i="6"/>
  <c r="Y420" i="6"/>
  <c r="I420" i="6"/>
  <c r="X420" i="6" s="1"/>
  <c r="F420" i="6"/>
  <c r="V420" i="6"/>
  <c r="T420" i="6"/>
  <c r="R420" i="6"/>
  <c r="U420" i="6"/>
  <c r="S420" i="6"/>
  <c r="Q420" i="6"/>
  <c r="E420" i="6"/>
  <c r="D420" i="6"/>
  <c r="B420" i="6"/>
  <c r="K419" i="6"/>
  <c r="J419" i="6"/>
  <c r="H419" i="6"/>
  <c r="AA419" i="6"/>
  <c r="Z419" i="6"/>
  <c r="Y419" i="6"/>
  <c r="I419" i="6"/>
  <c r="X419" i="6" s="1"/>
  <c r="F419" i="6"/>
  <c r="V419" i="6"/>
  <c r="T419" i="6"/>
  <c r="R419" i="6"/>
  <c r="U419" i="6"/>
  <c r="S419" i="6"/>
  <c r="Q419" i="6"/>
  <c r="E419" i="6"/>
  <c r="D419" i="6"/>
  <c r="B419" i="6"/>
  <c r="K418" i="6"/>
  <c r="J418" i="6"/>
  <c r="I418" i="6"/>
  <c r="H418" i="6"/>
  <c r="G418" i="6"/>
  <c r="F418" i="6"/>
  <c r="K417" i="6"/>
  <c r="J417" i="6"/>
  <c r="I417" i="6"/>
  <c r="W417" i="6" s="1"/>
  <c r="H417" i="6"/>
  <c r="G417" i="6"/>
  <c r="F417" i="6"/>
  <c r="K416" i="6"/>
  <c r="J416" i="6"/>
  <c r="I416" i="6"/>
  <c r="H416" i="6"/>
  <c r="G416" i="6"/>
  <c r="F416" i="6"/>
  <c r="K415" i="6"/>
  <c r="J415" i="6"/>
  <c r="I415" i="6"/>
  <c r="W415" i="6" s="1"/>
  <c r="H415" i="6"/>
  <c r="G415" i="6"/>
  <c r="F415" i="6"/>
  <c r="C414" i="6"/>
  <c r="V413" i="6"/>
  <c r="T413" i="6"/>
  <c r="R413" i="6"/>
  <c r="U413" i="6"/>
  <c r="S413" i="6"/>
  <c r="Q413" i="6"/>
  <c r="E413" i="6"/>
  <c r="D413" i="6"/>
  <c r="B413" i="6"/>
  <c r="AA411" i="6"/>
  <c r="Z411" i="6"/>
  <c r="Y411" i="6"/>
  <c r="I410" i="6"/>
  <c r="AB410" i="6" s="1"/>
  <c r="H410" i="6"/>
  <c r="G410" i="6"/>
  <c r="E410" i="6"/>
  <c r="J409" i="6"/>
  <c r="E409" i="6"/>
  <c r="J408" i="6"/>
  <c r="E408" i="6"/>
  <c r="J407" i="6"/>
  <c r="E407" i="6"/>
  <c r="K406" i="6"/>
  <c r="J406" i="6"/>
  <c r="H406" i="6"/>
  <c r="AA406" i="6"/>
  <c r="Z406" i="6"/>
  <c r="Y406" i="6"/>
  <c r="I406" i="6"/>
  <c r="X406" i="6" s="1"/>
  <c r="F406" i="6"/>
  <c r="V406" i="6"/>
  <c r="T406" i="6"/>
  <c r="R406" i="6"/>
  <c r="U406" i="6"/>
  <c r="S406" i="6"/>
  <c r="Q406" i="6"/>
  <c r="E406" i="6"/>
  <c r="D406" i="6"/>
  <c r="B406" i="6"/>
  <c r="K405" i="6"/>
  <c r="J405" i="6"/>
  <c r="I405" i="6"/>
  <c r="H405" i="6"/>
  <c r="G405" i="6"/>
  <c r="F405" i="6"/>
  <c r="K404" i="6"/>
  <c r="J404" i="6"/>
  <c r="I404" i="6"/>
  <c r="W404" i="6" s="1"/>
  <c r="H404" i="6"/>
  <c r="G404" i="6"/>
  <c r="F404" i="6"/>
  <c r="K403" i="6"/>
  <c r="J403" i="6"/>
  <c r="I403" i="6"/>
  <c r="H403" i="6"/>
  <c r="G403" i="6"/>
  <c r="F403" i="6"/>
  <c r="K402" i="6"/>
  <c r="J402" i="6"/>
  <c r="I402" i="6"/>
  <c r="H402" i="6"/>
  <c r="G402" i="6"/>
  <c r="F402" i="6"/>
  <c r="C401" i="6"/>
  <c r="V400" i="6"/>
  <c r="T400" i="6"/>
  <c r="K408" i="6" s="1"/>
  <c r="R400" i="6"/>
  <c r="U400" i="6"/>
  <c r="S400" i="6"/>
  <c r="I408" i="6" s="1"/>
  <c r="Q400" i="6"/>
  <c r="E400" i="6"/>
  <c r="D400" i="6"/>
  <c r="B400" i="6"/>
  <c r="AA398" i="6"/>
  <c r="Z398" i="6"/>
  <c r="Y398" i="6"/>
  <c r="I397" i="6"/>
  <c r="AB397" i="6" s="1"/>
  <c r="H397" i="6"/>
  <c r="G397" i="6"/>
  <c r="E397" i="6"/>
  <c r="J396" i="6"/>
  <c r="E396" i="6"/>
  <c r="J395" i="6"/>
  <c r="E395" i="6"/>
  <c r="K394" i="6"/>
  <c r="J394" i="6"/>
  <c r="H394" i="6"/>
  <c r="AA394" i="6"/>
  <c r="Z394" i="6"/>
  <c r="Y394" i="6"/>
  <c r="I394" i="6"/>
  <c r="X394" i="6" s="1"/>
  <c r="F394" i="6"/>
  <c r="V394" i="6"/>
  <c r="T394" i="6"/>
  <c r="R394" i="6"/>
  <c r="U394" i="6"/>
  <c r="S394" i="6"/>
  <c r="Q394" i="6"/>
  <c r="E394" i="6"/>
  <c r="D394" i="6"/>
  <c r="B394" i="6"/>
  <c r="K393" i="6"/>
  <c r="J393" i="6"/>
  <c r="I393" i="6"/>
  <c r="H393" i="6"/>
  <c r="G393" i="6"/>
  <c r="F393" i="6"/>
  <c r="K392" i="6"/>
  <c r="J392" i="6"/>
  <c r="I392" i="6"/>
  <c r="H392" i="6"/>
  <c r="G392" i="6"/>
  <c r="F392" i="6"/>
  <c r="C391" i="6"/>
  <c r="V390" i="6"/>
  <c r="T390" i="6"/>
  <c r="R390" i="6"/>
  <c r="U390" i="6"/>
  <c r="S390" i="6"/>
  <c r="Q390" i="6"/>
  <c r="E390" i="6"/>
  <c r="D390" i="6"/>
  <c r="B390" i="6"/>
  <c r="AA388" i="6"/>
  <c r="Z388" i="6"/>
  <c r="Y388" i="6"/>
  <c r="I387" i="6"/>
  <c r="AB387" i="6" s="1"/>
  <c r="H387" i="6"/>
  <c r="G387" i="6"/>
  <c r="E387" i="6"/>
  <c r="J386" i="6"/>
  <c r="E386" i="6"/>
  <c r="J385" i="6"/>
  <c r="E385" i="6"/>
  <c r="K384" i="6"/>
  <c r="J384" i="6"/>
  <c r="H384" i="6"/>
  <c r="AA384" i="6"/>
  <c r="Z384" i="6"/>
  <c r="Y384" i="6"/>
  <c r="I384" i="6"/>
  <c r="X384" i="6" s="1"/>
  <c r="F384" i="6"/>
  <c r="V384" i="6"/>
  <c r="T384" i="6"/>
  <c r="R384" i="6"/>
  <c r="U384" i="6"/>
  <c r="S384" i="6"/>
  <c r="Q384" i="6"/>
  <c r="E384" i="6"/>
  <c r="D384" i="6"/>
  <c r="B384" i="6"/>
  <c r="K383" i="6"/>
  <c r="J383" i="6"/>
  <c r="I383" i="6"/>
  <c r="H383" i="6"/>
  <c r="G383" i="6"/>
  <c r="F383" i="6"/>
  <c r="K382" i="6"/>
  <c r="J382" i="6"/>
  <c r="I382" i="6"/>
  <c r="H382" i="6"/>
  <c r="G382" i="6"/>
  <c r="F382" i="6"/>
  <c r="K381" i="6"/>
  <c r="J381" i="6"/>
  <c r="I381" i="6"/>
  <c r="H381" i="6"/>
  <c r="G381" i="6"/>
  <c r="F381" i="6"/>
  <c r="C380" i="6"/>
  <c r="V379" i="6"/>
  <c r="T379" i="6"/>
  <c r="R379" i="6"/>
  <c r="U379" i="6"/>
  <c r="S379" i="6"/>
  <c r="Q379" i="6"/>
  <c r="I385" i="6" s="1"/>
  <c r="E379" i="6"/>
  <c r="D379" i="6"/>
  <c r="B379" i="6"/>
  <c r="B378" i="6"/>
  <c r="AA375" i="6"/>
  <c r="Z375" i="6"/>
  <c r="Y375" i="6"/>
  <c r="I374" i="6"/>
  <c r="AB374" i="6" s="1"/>
  <c r="H374" i="6"/>
  <c r="G374" i="6"/>
  <c r="E374" i="6"/>
  <c r="J373" i="6"/>
  <c r="E373" i="6"/>
  <c r="J372" i="6"/>
  <c r="E372" i="6"/>
  <c r="K371" i="6"/>
  <c r="J371" i="6"/>
  <c r="I371" i="6"/>
  <c r="H371" i="6"/>
  <c r="G371" i="6"/>
  <c r="F371" i="6"/>
  <c r="C370" i="6"/>
  <c r="V369" i="6"/>
  <c r="T369" i="6"/>
  <c r="K373" i="6" s="1"/>
  <c r="R369" i="6"/>
  <c r="K372" i="6" s="1"/>
  <c r="U369" i="6"/>
  <c r="S369" i="6"/>
  <c r="I373" i="6" s="1"/>
  <c r="Q369" i="6"/>
  <c r="I372" i="6" s="1"/>
  <c r="E369" i="6"/>
  <c r="D369" i="6"/>
  <c r="B369" i="6"/>
  <c r="AA367" i="6"/>
  <c r="Z367" i="6"/>
  <c r="Y367" i="6"/>
  <c r="I366" i="6"/>
  <c r="AB366" i="6" s="1"/>
  <c r="H366" i="6"/>
  <c r="G366" i="6"/>
  <c r="E366" i="6"/>
  <c r="J365" i="6"/>
  <c r="E365" i="6"/>
  <c r="J364" i="6"/>
  <c r="E364" i="6"/>
  <c r="J363" i="6"/>
  <c r="E363" i="6"/>
  <c r="K362" i="6"/>
  <c r="J362" i="6"/>
  <c r="I362" i="6"/>
  <c r="W362" i="6" s="1"/>
  <c r="H362" i="6"/>
  <c r="G362" i="6"/>
  <c r="F362" i="6"/>
  <c r="K361" i="6"/>
  <c r="J361" i="6"/>
  <c r="I361" i="6"/>
  <c r="H361" i="6"/>
  <c r="G361" i="6"/>
  <c r="F361" i="6"/>
  <c r="K360" i="6"/>
  <c r="J360" i="6"/>
  <c r="I360" i="6"/>
  <c r="H360" i="6"/>
  <c r="G360" i="6"/>
  <c r="F360" i="6"/>
  <c r="C359" i="6"/>
  <c r="V358" i="6"/>
  <c r="K365" i="6" s="1"/>
  <c r="T358" i="6"/>
  <c r="K364" i="6" s="1"/>
  <c r="R358" i="6"/>
  <c r="K363" i="6" s="1"/>
  <c r="U358" i="6"/>
  <c r="I365" i="6" s="1"/>
  <c r="S358" i="6"/>
  <c r="I364" i="6" s="1"/>
  <c r="Q358" i="6"/>
  <c r="I363" i="6" s="1"/>
  <c r="E358" i="6"/>
  <c r="D358" i="6"/>
  <c r="B358" i="6"/>
  <c r="AA356" i="6"/>
  <c r="Z356" i="6"/>
  <c r="Y356" i="6"/>
  <c r="I355" i="6"/>
  <c r="AB355" i="6" s="1"/>
  <c r="H355" i="6"/>
  <c r="G355" i="6"/>
  <c r="E355" i="6"/>
  <c r="J354" i="6"/>
  <c r="E354" i="6"/>
  <c r="J353" i="6"/>
  <c r="E353" i="6"/>
  <c r="J352" i="6"/>
  <c r="E352" i="6"/>
  <c r="K351" i="6"/>
  <c r="J351" i="6"/>
  <c r="I351" i="6"/>
  <c r="W351" i="6" s="1"/>
  <c r="H351" i="6"/>
  <c r="G351" i="6"/>
  <c r="F351" i="6"/>
  <c r="K350" i="6"/>
  <c r="J350" i="6"/>
  <c r="I350" i="6"/>
  <c r="H350" i="6"/>
  <c r="G350" i="6"/>
  <c r="F350" i="6"/>
  <c r="K349" i="6"/>
  <c r="J349" i="6"/>
  <c r="I349" i="6"/>
  <c r="H349" i="6"/>
  <c r="G349" i="6"/>
  <c r="F349" i="6"/>
  <c r="C348" i="6"/>
  <c r="V347" i="6"/>
  <c r="K354" i="6" s="1"/>
  <c r="T347" i="6"/>
  <c r="K353" i="6" s="1"/>
  <c r="R347" i="6"/>
  <c r="K352" i="6" s="1"/>
  <c r="U347" i="6"/>
  <c r="I354" i="6" s="1"/>
  <c r="S347" i="6"/>
  <c r="I353" i="6" s="1"/>
  <c r="Q347" i="6"/>
  <c r="I352" i="6" s="1"/>
  <c r="E347" i="6"/>
  <c r="D347" i="6"/>
  <c r="B347" i="6"/>
  <c r="AA345" i="6"/>
  <c r="Z345" i="6"/>
  <c r="Y345" i="6"/>
  <c r="I344" i="6"/>
  <c r="AB344" i="6" s="1"/>
  <c r="H344" i="6"/>
  <c r="G344" i="6"/>
  <c r="E344" i="6"/>
  <c r="J343" i="6"/>
  <c r="E343" i="6"/>
  <c r="J342" i="6"/>
  <c r="E342" i="6"/>
  <c r="K341" i="6"/>
  <c r="J341" i="6"/>
  <c r="I341" i="6"/>
  <c r="H341" i="6"/>
  <c r="G341" i="6"/>
  <c r="F341" i="6"/>
  <c r="C340" i="6"/>
  <c r="V339" i="6"/>
  <c r="T339" i="6"/>
  <c r="K343" i="6" s="1"/>
  <c r="R339" i="6"/>
  <c r="K342" i="6" s="1"/>
  <c r="U339" i="6"/>
  <c r="S339" i="6"/>
  <c r="I343" i="6" s="1"/>
  <c r="Q339" i="6"/>
  <c r="I342" i="6" s="1"/>
  <c r="E339" i="6"/>
  <c r="D339" i="6"/>
  <c r="B339" i="6"/>
  <c r="AA337" i="6"/>
  <c r="Z337" i="6"/>
  <c r="Y337" i="6"/>
  <c r="I336" i="6"/>
  <c r="AB336" i="6" s="1"/>
  <c r="H336" i="6"/>
  <c r="G336" i="6"/>
  <c r="E336" i="6"/>
  <c r="J335" i="6"/>
  <c r="E335" i="6"/>
  <c r="J334" i="6"/>
  <c r="E334" i="6"/>
  <c r="K333" i="6"/>
  <c r="J333" i="6"/>
  <c r="I333" i="6"/>
  <c r="H333" i="6"/>
  <c r="G333" i="6"/>
  <c r="F333" i="6"/>
  <c r="C332" i="6"/>
  <c r="V331" i="6"/>
  <c r="T331" i="6"/>
  <c r="K335" i="6" s="1"/>
  <c r="R331" i="6"/>
  <c r="K334" i="6" s="1"/>
  <c r="U331" i="6"/>
  <c r="S331" i="6"/>
  <c r="I335" i="6" s="1"/>
  <c r="Q331" i="6"/>
  <c r="I334" i="6" s="1"/>
  <c r="E331" i="6"/>
  <c r="D331" i="6"/>
  <c r="B331" i="6"/>
  <c r="B330" i="6"/>
  <c r="A328" i="6"/>
  <c r="H326" i="6"/>
  <c r="J326" i="6"/>
  <c r="H325" i="6"/>
  <c r="J325" i="6"/>
  <c r="A324" i="6"/>
  <c r="AA321" i="6"/>
  <c r="Z321" i="6"/>
  <c r="Y321" i="6"/>
  <c r="I320" i="6"/>
  <c r="AB320" i="6" s="1"/>
  <c r="H320" i="6"/>
  <c r="G320" i="6"/>
  <c r="E320" i="6"/>
  <c r="J319" i="6"/>
  <c r="E319" i="6"/>
  <c r="J318" i="6"/>
  <c r="E318" i="6"/>
  <c r="J317" i="6"/>
  <c r="E317" i="6"/>
  <c r="K316" i="6"/>
  <c r="J316" i="6"/>
  <c r="H316" i="6"/>
  <c r="AA316" i="6"/>
  <c r="Z316" i="6"/>
  <c r="Y316" i="6"/>
  <c r="I316" i="6"/>
  <c r="X316" i="6" s="1"/>
  <c r="F316" i="6"/>
  <c r="V316" i="6"/>
  <c r="T316" i="6"/>
  <c r="R316" i="6"/>
  <c r="U316" i="6"/>
  <c r="S316" i="6"/>
  <c r="Q316" i="6"/>
  <c r="E316" i="6"/>
  <c r="D316" i="6"/>
  <c r="B316" i="6"/>
  <c r="K315" i="6"/>
  <c r="J315" i="6"/>
  <c r="H315" i="6"/>
  <c r="AA315" i="6"/>
  <c r="Z315" i="6"/>
  <c r="Y315" i="6"/>
  <c r="I315" i="6"/>
  <c r="X315" i="6" s="1"/>
  <c r="F315" i="6"/>
  <c r="V315" i="6"/>
  <c r="T315" i="6"/>
  <c r="R315" i="6"/>
  <c r="U315" i="6"/>
  <c r="S315" i="6"/>
  <c r="Q315" i="6"/>
  <c r="E315" i="6"/>
  <c r="D315" i="6"/>
  <c r="B315" i="6"/>
  <c r="K314" i="6"/>
  <c r="J314" i="6"/>
  <c r="I314" i="6"/>
  <c r="H314" i="6"/>
  <c r="G314" i="6"/>
  <c r="F314" i="6"/>
  <c r="K313" i="6"/>
  <c r="J313" i="6"/>
  <c r="I313" i="6"/>
  <c r="W313" i="6" s="1"/>
  <c r="H313" i="6"/>
  <c r="G313" i="6"/>
  <c r="F313" i="6"/>
  <c r="K312" i="6"/>
  <c r="J312" i="6"/>
  <c r="I312" i="6"/>
  <c r="H312" i="6"/>
  <c r="G312" i="6"/>
  <c r="F312" i="6"/>
  <c r="K311" i="6"/>
  <c r="J311" i="6"/>
  <c r="I311" i="6"/>
  <c r="H311" i="6"/>
  <c r="G311" i="6"/>
  <c r="F311" i="6"/>
  <c r="C310" i="6"/>
  <c r="V309" i="6"/>
  <c r="T309" i="6"/>
  <c r="R309" i="6"/>
  <c r="U309" i="6"/>
  <c r="S309" i="6"/>
  <c r="Q309" i="6"/>
  <c r="E309" i="6"/>
  <c r="D309" i="6"/>
  <c r="B309" i="6"/>
  <c r="AA307" i="6"/>
  <c r="Z307" i="6"/>
  <c r="Y307" i="6"/>
  <c r="I306" i="6"/>
  <c r="AB306" i="6" s="1"/>
  <c r="H306" i="6"/>
  <c r="G306" i="6"/>
  <c r="E306" i="6"/>
  <c r="J305" i="6"/>
  <c r="E305" i="6"/>
  <c r="J304" i="6"/>
  <c r="E304" i="6"/>
  <c r="J303" i="6"/>
  <c r="E303" i="6"/>
  <c r="K302" i="6"/>
  <c r="J302" i="6"/>
  <c r="H302" i="6"/>
  <c r="AA302" i="6"/>
  <c r="Z302" i="6"/>
  <c r="Y302" i="6"/>
  <c r="I302" i="6"/>
  <c r="X302" i="6" s="1"/>
  <c r="F302" i="6"/>
  <c r="V302" i="6"/>
  <c r="T302" i="6"/>
  <c r="R302" i="6"/>
  <c r="U302" i="6"/>
  <c r="S302" i="6"/>
  <c r="Q302" i="6"/>
  <c r="E302" i="6"/>
  <c r="D302" i="6"/>
  <c r="B302" i="6"/>
  <c r="K301" i="6"/>
  <c r="J301" i="6"/>
  <c r="I301" i="6"/>
  <c r="H301" i="6"/>
  <c r="G301" i="6"/>
  <c r="F301" i="6"/>
  <c r="K300" i="6"/>
  <c r="J300" i="6"/>
  <c r="I300" i="6"/>
  <c r="W300" i="6" s="1"/>
  <c r="H300" i="6"/>
  <c r="G300" i="6"/>
  <c r="F300" i="6"/>
  <c r="K299" i="6"/>
  <c r="J299" i="6"/>
  <c r="I299" i="6"/>
  <c r="H299" i="6"/>
  <c r="G299" i="6"/>
  <c r="F299" i="6"/>
  <c r="K298" i="6"/>
  <c r="J298" i="6"/>
  <c r="I298" i="6"/>
  <c r="H298" i="6"/>
  <c r="G298" i="6"/>
  <c r="F298" i="6"/>
  <c r="C297" i="6"/>
  <c r="V296" i="6"/>
  <c r="T296" i="6"/>
  <c r="R296" i="6"/>
  <c r="U296" i="6"/>
  <c r="S296" i="6"/>
  <c r="Q296" i="6"/>
  <c r="E296" i="6"/>
  <c r="D296" i="6"/>
  <c r="B296" i="6"/>
  <c r="AA294" i="6"/>
  <c r="Z294" i="6"/>
  <c r="Y294" i="6"/>
  <c r="I293" i="6"/>
  <c r="AB293" i="6" s="1"/>
  <c r="H293" i="6"/>
  <c r="G293" i="6"/>
  <c r="E293" i="6"/>
  <c r="J292" i="6"/>
  <c r="E292" i="6"/>
  <c r="J291" i="6"/>
  <c r="E291" i="6"/>
  <c r="J290" i="6"/>
  <c r="E290" i="6"/>
  <c r="K289" i="6"/>
  <c r="J289" i="6"/>
  <c r="H289" i="6"/>
  <c r="AA289" i="6"/>
  <c r="Z289" i="6"/>
  <c r="Y289" i="6"/>
  <c r="I289" i="6"/>
  <c r="X289" i="6" s="1"/>
  <c r="F289" i="6"/>
  <c r="V289" i="6"/>
  <c r="T289" i="6"/>
  <c r="R289" i="6"/>
  <c r="U289" i="6"/>
  <c r="S289" i="6"/>
  <c r="Q289" i="6"/>
  <c r="E289" i="6"/>
  <c r="D289" i="6"/>
  <c r="B289" i="6"/>
  <c r="K288" i="6"/>
  <c r="J288" i="6"/>
  <c r="H288" i="6"/>
  <c r="AA288" i="6"/>
  <c r="Z288" i="6"/>
  <c r="Y288" i="6"/>
  <c r="I288" i="6"/>
  <c r="X288" i="6" s="1"/>
  <c r="F288" i="6"/>
  <c r="V288" i="6"/>
  <c r="T288" i="6"/>
  <c r="R288" i="6"/>
  <c r="U288" i="6"/>
  <c r="S288" i="6"/>
  <c r="Q288" i="6"/>
  <c r="E288" i="6"/>
  <c r="D288" i="6"/>
  <c r="B288" i="6"/>
  <c r="K287" i="6"/>
  <c r="J287" i="6"/>
  <c r="H287" i="6"/>
  <c r="AA287" i="6"/>
  <c r="Z287" i="6"/>
  <c r="Y287" i="6"/>
  <c r="I287" i="6"/>
  <c r="X287" i="6" s="1"/>
  <c r="F287" i="6"/>
  <c r="V287" i="6"/>
  <c r="T287" i="6"/>
  <c r="R287" i="6"/>
  <c r="U287" i="6"/>
  <c r="S287" i="6"/>
  <c r="Q287" i="6"/>
  <c r="E287" i="6"/>
  <c r="D287" i="6"/>
  <c r="B287" i="6"/>
  <c r="K286" i="6"/>
  <c r="J286" i="6"/>
  <c r="H286" i="6"/>
  <c r="AA286" i="6"/>
  <c r="Z286" i="6"/>
  <c r="Y286" i="6"/>
  <c r="I286" i="6"/>
  <c r="X286" i="6" s="1"/>
  <c r="F286" i="6"/>
  <c r="V286" i="6"/>
  <c r="T286" i="6"/>
  <c r="R286" i="6"/>
  <c r="U286" i="6"/>
  <c r="S286" i="6"/>
  <c r="Q286" i="6"/>
  <c r="E286" i="6"/>
  <c r="D286" i="6"/>
  <c r="B286" i="6"/>
  <c r="K285" i="6"/>
  <c r="J285" i="6"/>
  <c r="H285" i="6"/>
  <c r="AA285" i="6"/>
  <c r="Z285" i="6"/>
  <c r="Y285" i="6"/>
  <c r="I285" i="6"/>
  <c r="X285" i="6" s="1"/>
  <c r="F285" i="6"/>
  <c r="V285" i="6"/>
  <c r="T285" i="6"/>
  <c r="R285" i="6"/>
  <c r="U285" i="6"/>
  <c r="S285" i="6"/>
  <c r="Q285" i="6"/>
  <c r="E285" i="6"/>
  <c r="D285" i="6"/>
  <c r="B285" i="6"/>
  <c r="K284" i="6"/>
  <c r="J284" i="6"/>
  <c r="I284" i="6"/>
  <c r="H284" i="6"/>
  <c r="G284" i="6"/>
  <c r="F284" i="6"/>
  <c r="K283" i="6"/>
  <c r="J283" i="6"/>
  <c r="I283" i="6"/>
  <c r="W283" i="6" s="1"/>
  <c r="H283" i="6"/>
  <c r="G283" i="6"/>
  <c r="F283" i="6"/>
  <c r="K282" i="6"/>
  <c r="J282" i="6"/>
  <c r="I282" i="6"/>
  <c r="H282" i="6"/>
  <c r="G282" i="6"/>
  <c r="F282" i="6"/>
  <c r="K281" i="6"/>
  <c r="J281" i="6"/>
  <c r="I281" i="6"/>
  <c r="W281" i="6" s="1"/>
  <c r="H281" i="6"/>
  <c r="G281" i="6"/>
  <c r="F281" i="6"/>
  <c r="C280" i="6"/>
  <c r="V279" i="6"/>
  <c r="T279" i="6"/>
  <c r="R279" i="6"/>
  <c r="U279" i="6"/>
  <c r="S279" i="6"/>
  <c r="Q279" i="6"/>
  <c r="E279" i="6"/>
  <c r="D279" i="6"/>
  <c r="B279" i="6"/>
  <c r="B278" i="6"/>
  <c r="AA275" i="6"/>
  <c r="Z275" i="6"/>
  <c r="Y275" i="6"/>
  <c r="I274" i="6"/>
  <c r="AB274" i="6" s="1"/>
  <c r="H274" i="6"/>
  <c r="G274" i="6"/>
  <c r="E274" i="6"/>
  <c r="J273" i="6"/>
  <c r="E273" i="6"/>
  <c r="J272" i="6"/>
  <c r="E272" i="6"/>
  <c r="K271" i="6"/>
  <c r="J271" i="6"/>
  <c r="H271" i="6"/>
  <c r="AA271" i="6"/>
  <c r="Z271" i="6"/>
  <c r="Y271" i="6"/>
  <c r="I271" i="6"/>
  <c r="X271" i="6" s="1"/>
  <c r="F271" i="6"/>
  <c r="V271" i="6"/>
  <c r="T271" i="6"/>
  <c r="R271" i="6"/>
  <c r="U271" i="6"/>
  <c r="S271" i="6"/>
  <c r="Q271" i="6"/>
  <c r="E271" i="6"/>
  <c r="D271" i="6"/>
  <c r="B271" i="6"/>
  <c r="K270" i="6"/>
  <c r="J270" i="6"/>
  <c r="I270" i="6"/>
  <c r="H270" i="6"/>
  <c r="G270" i="6"/>
  <c r="F270" i="6"/>
  <c r="C269" i="6"/>
  <c r="V268" i="6"/>
  <c r="T268" i="6"/>
  <c r="K273" i="6" s="1"/>
  <c r="R268" i="6"/>
  <c r="K272" i="6" s="1"/>
  <c r="U268" i="6"/>
  <c r="S268" i="6"/>
  <c r="I273" i="6" s="1"/>
  <c r="Q268" i="6"/>
  <c r="E268" i="6"/>
  <c r="D268" i="6"/>
  <c r="B268" i="6"/>
  <c r="AA266" i="6"/>
  <c r="Z266" i="6"/>
  <c r="Y266" i="6"/>
  <c r="I265" i="6"/>
  <c r="AB265" i="6" s="1"/>
  <c r="H265" i="6"/>
  <c r="G265" i="6"/>
  <c r="E265" i="6"/>
  <c r="J264" i="6"/>
  <c r="E264" i="6"/>
  <c r="J263" i="6"/>
  <c r="E263" i="6"/>
  <c r="J262" i="6"/>
  <c r="E262" i="6"/>
  <c r="K261" i="6"/>
  <c r="J261" i="6"/>
  <c r="H261" i="6"/>
  <c r="AA261" i="6"/>
  <c r="Z261" i="6"/>
  <c r="Y261" i="6"/>
  <c r="I261" i="6"/>
  <c r="X261" i="6" s="1"/>
  <c r="F261" i="6"/>
  <c r="V261" i="6"/>
  <c r="T261" i="6"/>
  <c r="R261" i="6"/>
  <c r="U261" i="6"/>
  <c r="S261" i="6"/>
  <c r="Q261" i="6"/>
  <c r="E261" i="6"/>
  <c r="D261" i="6"/>
  <c r="B261" i="6"/>
  <c r="K260" i="6"/>
  <c r="J260" i="6"/>
  <c r="H260" i="6"/>
  <c r="AA260" i="6"/>
  <c r="Z260" i="6"/>
  <c r="Y260" i="6"/>
  <c r="I260" i="6"/>
  <c r="X260" i="6" s="1"/>
  <c r="F260" i="6"/>
  <c r="V260" i="6"/>
  <c r="T260" i="6"/>
  <c r="R260" i="6"/>
  <c r="U260" i="6"/>
  <c r="S260" i="6"/>
  <c r="Q260" i="6"/>
  <c r="E260" i="6"/>
  <c r="D260" i="6"/>
  <c r="B260" i="6"/>
  <c r="K259" i="6"/>
  <c r="J259" i="6"/>
  <c r="H259" i="6"/>
  <c r="AA259" i="6"/>
  <c r="Z259" i="6"/>
  <c r="Y259" i="6"/>
  <c r="I259" i="6"/>
  <c r="X259" i="6" s="1"/>
  <c r="F259" i="6"/>
  <c r="V259" i="6"/>
  <c r="T259" i="6"/>
  <c r="R259" i="6"/>
  <c r="U259" i="6"/>
  <c r="S259" i="6"/>
  <c r="Q259" i="6"/>
  <c r="E259" i="6"/>
  <c r="D259" i="6"/>
  <c r="B259" i="6"/>
  <c r="K258" i="6"/>
  <c r="J258" i="6"/>
  <c r="I258" i="6"/>
  <c r="H258" i="6"/>
  <c r="G258" i="6"/>
  <c r="F258" i="6"/>
  <c r="K257" i="6"/>
  <c r="J257" i="6"/>
  <c r="I257" i="6"/>
  <c r="W257" i="6" s="1"/>
  <c r="H257" i="6"/>
  <c r="G257" i="6"/>
  <c r="F257" i="6"/>
  <c r="K256" i="6"/>
  <c r="J256" i="6"/>
  <c r="I256" i="6"/>
  <c r="H256" i="6"/>
  <c r="G256" i="6"/>
  <c r="F256" i="6"/>
  <c r="K255" i="6"/>
  <c r="J255" i="6"/>
  <c r="I255" i="6"/>
  <c r="W255" i="6" s="1"/>
  <c r="H255" i="6"/>
  <c r="G255" i="6"/>
  <c r="F255" i="6"/>
  <c r="C254" i="6"/>
  <c r="V253" i="6"/>
  <c r="T253" i="6"/>
  <c r="R253" i="6"/>
  <c r="U253" i="6"/>
  <c r="S253" i="6"/>
  <c r="Q253" i="6"/>
  <c r="E253" i="6"/>
  <c r="D253" i="6"/>
  <c r="B253" i="6"/>
  <c r="AA251" i="6"/>
  <c r="Z251" i="6"/>
  <c r="Y251" i="6"/>
  <c r="I250" i="6"/>
  <c r="AB250" i="6" s="1"/>
  <c r="H250" i="6"/>
  <c r="G250" i="6"/>
  <c r="E250" i="6"/>
  <c r="J249" i="6"/>
  <c r="E249" i="6"/>
  <c r="J248" i="6"/>
  <c r="E248" i="6"/>
  <c r="J247" i="6"/>
  <c r="E247" i="6"/>
  <c r="K246" i="6"/>
  <c r="J246" i="6"/>
  <c r="H246" i="6"/>
  <c r="AA246" i="6"/>
  <c r="Z246" i="6"/>
  <c r="Y246" i="6"/>
  <c r="I246" i="6"/>
  <c r="X246" i="6" s="1"/>
  <c r="F246" i="6"/>
  <c r="V246" i="6"/>
  <c r="T246" i="6"/>
  <c r="R246" i="6"/>
  <c r="U246" i="6"/>
  <c r="S246" i="6"/>
  <c r="Q246" i="6"/>
  <c r="E246" i="6"/>
  <c r="D246" i="6"/>
  <c r="B246" i="6"/>
  <c r="K245" i="6"/>
  <c r="J245" i="6"/>
  <c r="H245" i="6"/>
  <c r="AA245" i="6"/>
  <c r="Z245" i="6"/>
  <c r="Y245" i="6"/>
  <c r="I245" i="6"/>
  <c r="X245" i="6" s="1"/>
  <c r="F245" i="6"/>
  <c r="V245" i="6"/>
  <c r="T245" i="6"/>
  <c r="R245" i="6"/>
  <c r="U245" i="6"/>
  <c r="S245" i="6"/>
  <c r="Q245" i="6"/>
  <c r="E245" i="6"/>
  <c r="D245" i="6"/>
  <c r="B245" i="6"/>
  <c r="K244" i="6"/>
  <c r="J244" i="6"/>
  <c r="I244" i="6"/>
  <c r="H244" i="6"/>
  <c r="G244" i="6"/>
  <c r="F244" i="6"/>
  <c r="K243" i="6"/>
  <c r="J243" i="6"/>
  <c r="I243" i="6"/>
  <c r="W243" i="6" s="1"/>
  <c r="H243" i="6"/>
  <c r="G243" i="6"/>
  <c r="F243" i="6"/>
  <c r="K242" i="6"/>
  <c r="J242" i="6"/>
  <c r="I242" i="6"/>
  <c r="H242" i="6"/>
  <c r="G242" i="6"/>
  <c r="F242" i="6"/>
  <c r="K241" i="6"/>
  <c r="J241" i="6"/>
  <c r="I241" i="6"/>
  <c r="H241" i="6"/>
  <c r="G241" i="6"/>
  <c r="F241" i="6"/>
  <c r="C240" i="6"/>
  <c r="V239" i="6"/>
  <c r="T239" i="6"/>
  <c r="R239" i="6"/>
  <c r="U239" i="6"/>
  <c r="S239" i="6"/>
  <c r="Q239" i="6"/>
  <c r="E239" i="6"/>
  <c r="D239" i="6"/>
  <c r="B239" i="6"/>
  <c r="AA237" i="6"/>
  <c r="Z237" i="6"/>
  <c r="Y237" i="6"/>
  <c r="I236" i="6"/>
  <c r="AB236" i="6" s="1"/>
  <c r="H236" i="6"/>
  <c r="G236" i="6"/>
  <c r="E236" i="6"/>
  <c r="J235" i="6"/>
  <c r="E235" i="6"/>
  <c r="J234" i="6"/>
  <c r="E234" i="6"/>
  <c r="J233" i="6"/>
  <c r="E233" i="6"/>
  <c r="K232" i="6"/>
  <c r="J232" i="6"/>
  <c r="H232" i="6"/>
  <c r="AA232" i="6"/>
  <c r="Z232" i="6"/>
  <c r="Y232" i="6"/>
  <c r="I232" i="6"/>
  <c r="X232" i="6" s="1"/>
  <c r="F232" i="6"/>
  <c r="V232" i="6"/>
  <c r="T232" i="6"/>
  <c r="R232" i="6"/>
  <c r="U232" i="6"/>
  <c r="S232" i="6"/>
  <c r="Q232" i="6"/>
  <c r="E232" i="6"/>
  <c r="D232" i="6"/>
  <c r="B232" i="6"/>
  <c r="K231" i="6"/>
  <c r="J231" i="6"/>
  <c r="H231" i="6"/>
  <c r="AA231" i="6"/>
  <c r="Z231" i="6"/>
  <c r="Y231" i="6"/>
  <c r="I231" i="6"/>
  <c r="X231" i="6" s="1"/>
  <c r="F231" i="6"/>
  <c r="V231" i="6"/>
  <c r="T231" i="6"/>
  <c r="R231" i="6"/>
  <c r="U231" i="6"/>
  <c r="S231" i="6"/>
  <c r="Q231" i="6"/>
  <c r="E231" i="6"/>
  <c r="D231" i="6"/>
  <c r="B231" i="6"/>
  <c r="K230" i="6"/>
  <c r="J230" i="6"/>
  <c r="H230" i="6"/>
  <c r="AA230" i="6"/>
  <c r="Z230" i="6"/>
  <c r="Y230" i="6"/>
  <c r="I230" i="6"/>
  <c r="X230" i="6" s="1"/>
  <c r="F230" i="6"/>
  <c r="V230" i="6"/>
  <c r="T230" i="6"/>
  <c r="R230" i="6"/>
  <c r="U230" i="6"/>
  <c r="S230" i="6"/>
  <c r="Q230" i="6"/>
  <c r="E230" i="6"/>
  <c r="D230" i="6"/>
  <c r="B230" i="6"/>
  <c r="K229" i="6"/>
  <c r="J229" i="6"/>
  <c r="I229" i="6"/>
  <c r="H229" i="6"/>
  <c r="G229" i="6"/>
  <c r="F229" i="6"/>
  <c r="K228" i="6"/>
  <c r="J228" i="6"/>
  <c r="I228" i="6"/>
  <c r="W228" i="6" s="1"/>
  <c r="H228" i="6"/>
  <c r="G228" i="6"/>
  <c r="F228" i="6"/>
  <c r="K227" i="6"/>
  <c r="J227" i="6"/>
  <c r="I227" i="6"/>
  <c r="H227" i="6"/>
  <c r="G227" i="6"/>
  <c r="F227" i="6"/>
  <c r="K226" i="6"/>
  <c r="J226" i="6"/>
  <c r="I226" i="6"/>
  <c r="H226" i="6"/>
  <c r="G226" i="6"/>
  <c r="F226" i="6"/>
  <c r="C225" i="6"/>
  <c r="V224" i="6"/>
  <c r="T224" i="6"/>
  <c r="R224" i="6"/>
  <c r="U224" i="6"/>
  <c r="S224" i="6"/>
  <c r="Q224" i="6"/>
  <c r="E224" i="6"/>
  <c r="D224" i="6"/>
  <c r="B224" i="6"/>
  <c r="AA222" i="6"/>
  <c r="Z222" i="6"/>
  <c r="Y222" i="6"/>
  <c r="I221" i="6"/>
  <c r="AB221" i="6" s="1"/>
  <c r="H221" i="6"/>
  <c r="G221" i="6"/>
  <c r="E221" i="6"/>
  <c r="J220" i="6"/>
  <c r="E220" i="6"/>
  <c r="J219" i="6"/>
  <c r="E219" i="6"/>
  <c r="J218" i="6"/>
  <c r="E218" i="6"/>
  <c r="K217" i="6"/>
  <c r="J217" i="6"/>
  <c r="H217" i="6"/>
  <c r="AA217" i="6"/>
  <c r="Z217" i="6"/>
  <c r="Y217" i="6"/>
  <c r="I217" i="6"/>
  <c r="X217" i="6" s="1"/>
  <c r="F217" i="6"/>
  <c r="V217" i="6"/>
  <c r="T217" i="6"/>
  <c r="R217" i="6"/>
  <c r="U217" i="6"/>
  <c r="S217" i="6"/>
  <c r="Q217" i="6"/>
  <c r="E217" i="6"/>
  <c r="D217" i="6"/>
  <c r="B217" i="6"/>
  <c r="K216" i="6"/>
  <c r="J216" i="6"/>
  <c r="H216" i="6"/>
  <c r="AA216" i="6"/>
  <c r="Z216" i="6"/>
  <c r="Y216" i="6"/>
  <c r="I216" i="6"/>
  <c r="X216" i="6" s="1"/>
  <c r="F216" i="6"/>
  <c r="V216" i="6"/>
  <c r="T216" i="6"/>
  <c r="R216" i="6"/>
  <c r="U216" i="6"/>
  <c r="S216" i="6"/>
  <c r="Q216" i="6"/>
  <c r="E216" i="6"/>
  <c r="D216" i="6"/>
  <c r="B216" i="6"/>
  <c r="K215" i="6"/>
  <c r="J215" i="6"/>
  <c r="H215" i="6"/>
  <c r="AA215" i="6"/>
  <c r="Z215" i="6"/>
  <c r="Y215" i="6"/>
  <c r="I215" i="6"/>
  <c r="X215" i="6" s="1"/>
  <c r="F215" i="6"/>
  <c r="V215" i="6"/>
  <c r="T215" i="6"/>
  <c r="R215" i="6"/>
  <c r="U215" i="6"/>
  <c r="S215" i="6"/>
  <c r="Q215" i="6"/>
  <c r="E215" i="6"/>
  <c r="D215" i="6"/>
  <c r="B215" i="6"/>
  <c r="K214" i="6"/>
  <c r="J214" i="6"/>
  <c r="I214" i="6"/>
  <c r="H214" i="6"/>
  <c r="G214" i="6"/>
  <c r="F214" i="6"/>
  <c r="K213" i="6"/>
  <c r="J213" i="6"/>
  <c r="I213" i="6"/>
  <c r="W213" i="6" s="1"/>
  <c r="H213" i="6"/>
  <c r="G213" i="6"/>
  <c r="F213" i="6"/>
  <c r="K212" i="6"/>
  <c r="J212" i="6"/>
  <c r="I212" i="6"/>
  <c r="H212" i="6"/>
  <c r="G212" i="6"/>
  <c r="F212" i="6"/>
  <c r="K211" i="6"/>
  <c r="J211" i="6"/>
  <c r="I211" i="6"/>
  <c r="W211" i="6" s="1"/>
  <c r="H211" i="6"/>
  <c r="G211" i="6"/>
  <c r="F211" i="6"/>
  <c r="C210" i="6"/>
  <c r="V209" i="6"/>
  <c r="T209" i="6"/>
  <c r="R209" i="6"/>
  <c r="U209" i="6"/>
  <c r="S209" i="6"/>
  <c r="Q209" i="6"/>
  <c r="E209" i="6"/>
  <c r="D209" i="6"/>
  <c r="B209" i="6"/>
  <c r="AA207" i="6"/>
  <c r="Z207" i="6"/>
  <c r="Y207" i="6"/>
  <c r="I206" i="6"/>
  <c r="AB206" i="6" s="1"/>
  <c r="H206" i="6"/>
  <c r="G206" i="6"/>
  <c r="E206" i="6"/>
  <c r="J205" i="6"/>
  <c r="E205" i="6"/>
  <c r="J204" i="6"/>
  <c r="E204" i="6"/>
  <c r="J203" i="6"/>
  <c r="E203" i="6"/>
  <c r="K202" i="6"/>
  <c r="J202" i="6"/>
  <c r="H202" i="6"/>
  <c r="AA202" i="6"/>
  <c r="Z202" i="6"/>
  <c r="Y202" i="6"/>
  <c r="I202" i="6"/>
  <c r="X202" i="6" s="1"/>
  <c r="F202" i="6"/>
  <c r="V202" i="6"/>
  <c r="T202" i="6"/>
  <c r="R202" i="6"/>
  <c r="U202" i="6"/>
  <c r="S202" i="6"/>
  <c r="Q202" i="6"/>
  <c r="E202" i="6"/>
  <c r="D202" i="6"/>
  <c r="B202" i="6"/>
  <c r="K201" i="6"/>
  <c r="J201" i="6"/>
  <c r="H201" i="6"/>
  <c r="AA201" i="6"/>
  <c r="Z201" i="6"/>
  <c r="Y201" i="6"/>
  <c r="I201" i="6"/>
  <c r="X201" i="6" s="1"/>
  <c r="F201" i="6"/>
  <c r="V201" i="6"/>
  <c r="T201" i="6"/>
  <c r="R201" i="6"/>
  <c r="U201" i="6"/>
  <c r="S201" i="6"/>
  <c r="Q201" i="6"/>
  <c r="E201" i="6"/>
  <c r="D201" i="6"/>
  <c r="B201" i="6"/>
  <c r="K200" i="6"/>
  <c r="J200" i="6"/>
  <c r="H200" i="6"/>
  <c r="AA200" i="6"/>
  <c r="Z200" i="6"/>
  <c r="Y200" i="6"/>
  <c r="I200" i="6"/>
  <c r="X200" i="6" s="1"/>
  <c r="F200" i="6"/>
  <c r="V200" i="6"/>
  <c r="T200" i="6"/>
  <c r="R200" i="6"/>
  <c r="U200" i="6"/>
  <c r="S200" i="6"/>
  <c r="Q200" i="6"/>
  <c r="E200" i="6"/>
  <c r="D200" i="6"/>
  <c r="B200" i="6"/>
  <c r="K199" i="6"/>
  <c r="J199" i="6"/>
  <c r="I199" i="6"/>
  <c r="H199" i="6"/>
  <c r="G199" i="6"/>
  <c r="F199" i="6"/>
  <c r="K198" i="6"/>
  <c r="J198" i="6"/>
  <c r="I198" i="6"/>
  <c r="W198" i="6" s="1"/>
  <c r="H198" i="6"/>
  <c r="G198" i="6"/>
  <c r="F198" i="6"/>
  <c r="K197" i="6"/>
  <c r="J197" i="6"/>
  <c r="I197" i="6"/>
  <c r="H197" i="6"/>
  <c r="G197" i="6"/>
  <c r="F197" i="6"/>
  <c r="K196" i="6"/>
  <c r="J196" i="6"/>
  <c r="I196" i="6"/>
  <c r="H196" i="6"/>
  <c r="G196" i="6"/>
  <c r="F196" i="6"/>
  <c r="C195" i="6"/>
  <c r="V194" i="6"/>
  <c r="T194" i="6"/>
  <c r="R194" i="6"/>
  <c r="U194" i="6"/>
  <c r="S194" i="6"/>
  <c r="Q194" i="6"/>
  <c r="E194" i="6"/>
  <c r="D194" i="6"/>
  <c r="B194" i="6"/>
  <c r="AA192" i="6"/>
  <c r="Z192" i="6"/>
  <c r="Y192" i="6"/>
  <c r="I191" i="6"/>
  <c r="AB191" i="6" s="1"/>
  <c r="H191" i="6"/>
  <c r="G191" i="6"/>
  <c r="E191" i="6"/>
  <c r="J190" i="6"/>
  <c r="E190" i="6"/>
  <c r="J189" i="6"/>
  <c r="E189" i="6"/>
  <c r="J188" i="6"/>
  <c r="E188" i="6"/>
  <c r="K187" i="6"/>
  <c r="J187" i="6"/>
  <c r="H187" i="6"/>
  <c r="AA187" i="6"/>
  <c r="Z187" i="6"/>
  <c r="Y187" i="6"/>
  <c r="I187" i="6"/>
  <c r="X187" i="6" s="1"/>
  <c r="F187" i="6"/>
  <c r="V187" i="6"/>
  <c r="T187" i="6"/>
  <c r="R187" i="6"/>
  <c r="U187" i="6"/>
  <c r="S187" i="6"/>
  <c r="Q187" i="6"/>
  <c r="E187" i="6"/>
  <c r="D187" i="6"/>
  <c r="B187" i="6"/>
  <c r="K186" i="6"/>
  <c r="J186" i="6"/>
  <c r="I186" i="6"/>
  <c r="W186" i="6" s="1"/>
  <c r="H186" i="6"/>
  <c r="G186" i="6"/>
  <c r="F186" i="6"/>
  <c r="K185" i="6"/>
  <c r="J185" i="6"/>
  <c r="I185" i="6"/>
  <c r="H185" i="6"/>
  <c r="G185" i="6"/>
  <c r="F185" i="6"/>
  <c r="K184" i="6"/>
  <c r="J184" i="6"/>
  <c r="I184" i="6"/>
  <c r="W184" i="6" s="1"/>
  <c r="H184" i="6"/>
  <c r="G184" i="6"/>
  <c r="F184" i="6"/>
  <c r="C183" i="6"/>
  <c r="V182" i="6"/>
  <c r="T182" i="6"/>
  <c r="R182" i="6"/>
  <c r="U182" i="6"/>
  <c r="S182" i="6"/>
  <c r="Q182" i="6"/>
  <c r="E182" i="6"/>
  <c r="D182" i="6"/>
  <c r="B182" i="6"/>
  <c r="B181" i="6"/>
  <c r="AA178" i="6"/>
  <c r="Z178" i="6"/>
  <c r="Y178" i="6"/>
  <c r="I177" i="6"/>
  <c r="AB177" i="6" s="1"/>
  <c r="H177" i="6"/>
  <c r="G177" i="6"/>
  <c r="E177" i="6"/>
  <c r="J176" i="6"/>
  <c r="E176" i="6"/>
  <c r="J175" i="6"/>
  <c r="E175" i="6"/>
  <c r="J174" i="6"/>
  <c r="E174" i="6"/>
  <c r="K173" i="6"/>
  <c r="J173" i="6"/>
  <c r="I173" i="6"/>
  <c r="W173" i="6" s="1"/>
  <c r="H173" i="6"/>
  <c r="G173" i="6"/>
  <c r="F173" i="6"/>
  <c r="K172" i="6"/>
  <c r="J172" i="6"/>
  <c r="I172" i="6"/>
  <c r="H172" i="6"/>
  <c r="G172" i="6"/>
  <c r="F172" i="6"/>
  <c r="K171" i="6"/>
  <c r="J171" i="6"/>
  <c r="I171" i="6"/>
  <c r="W171" i="6" s="1"/>
  <c r="H171" i="6"/>
  <c r="G171" i="6"/>
  <c r="F171" i="6"/>
  <c r="C170" i="6"/>
  <c r="V169" i="6"/>
  <c r="K176" i="6" s="1"/>
  <c r="T169" i="6"/>
  <c r="K175" i="6" s="1"/>
  <c r="R169" i="6"/>
  <c r="K174" i="6" s="1"/>
  <c r="U169" i="6"/>
  <c r="I176" i="6" s="1"/>
  <c r="S169" i="6"/>
  <c r="I175" i="6" s="1"/>
  <c r="Q169" i="6"/>
  <c r="I174" i="6" s="1"/>
  <c r="E169" i="6"/>
  <c r="D169" i="6"/>
  <c r="B169" i="6"/>
  <c r="AA167" i="6"/>
  <c r="Z167" i="6"/>
  <c r="Y167" i="6"/>
  <c r="I166" i="6"/>
  <c r="AB166" i="6" s="1"/>
  <c r="H166" i="6"/>
  <c r="G166" i="6"/>
  <c r="E166" i="6"/>
  <c r="J165" i="6"/>
  <c r="E165" i="6"/>
  <c r="J164" i="6"/>
  <c r="E164" i="6"/>
  <c r="K163" i="6"/>
  <c r="J163" i="6"/>
  <c r="I163" i="6"/>
  <c r="H163" i="6"/>
  <c r="G163" i="6"/>
  <c r="F163" i="6"/>
  <c r="C162" i="6"/>
  <c r="V161" i="6"/>
  <c r="T161" i="6"/>
  <c r="K165" i="6" s="1"/>
  <c r="R161" i="6"/>
  <c r="K164" i="6" s="1"/>
  <c r="U161" i="6"/>
  <c r="S161" i="6"/>
  <c r="I165" i="6" s="1"/>
  <c r="Q161" i="6"/>
  <c r="I164" i="6" s="1"/>
  <c r="E161" i="6"/>
  <c r="D161" i="6"/>
  <c r="B161" i="6"/>
  <c r="AA159" i="6"/>
  <c r="Z159" i="6"/>
  <c r="Y159" i="6"/>
  <c r="I158" i="6"/>
  <c r="AB158" i="6" s="1"/>
  <c r="H158" i="6"/>
  <c r="G158" i="6"/>
  <c r="E158" i="6"/>
  <c r="J157" i="6"/>
  <c r="E157" i="6"/>
  <c r="J156" i="6"/>
  <c r="E156" i="6"/>
  <c r="K155" i="6"/>
  <c r="J155" i="6"/>
  <c r="I155" i="6"/>
  <c r="H155" i="6"/>
  <c r="G155" i="6"/>
  <c r="F155" i="6"/>
  <c r="C154" i="6"/>
  <c r="V153" i="6"/>
  <c r="T153" i="6"/>
  <c r="K157" i="6" s="1"/>
  <c r="R153" i="6"/>
  <c r="K156" i="6" s="1"/>
  <c r="U153" i="6"/>
  <c r="S153" i="6"/>
  <c r="I157" i="6" s="1"/>
  <c r="Q153" i="6"/>
  <c r="I156" i="6" s="1"/>
  <c r="E153" i="6"/>
  <c r="D153" i="6"/>
  <c r="B153" i="6"/>
  <c r="AA151" i="6"/>
  <c r="Z151" i="6"/>
  <c r="Y151" i="6"/>
  <c r="I150" i="6"/>
  <c r="AB150" i="6" s="1"/>
  <c r="H150" i="6"/>
  <c r="G150" i="6"/>
  <c r="E150" i="6"/>
  <c r="J149" i="6"/>
  <c r="E149" i="6"/>
  <c r="J148" i="6"/>
  <c r="E148" i="6"/>
  <c r="K147" i="6"/>
  <c r="J147" i="6"/>
  <c r="I147" i="6"/>
  <c r="H147" i="6"/>
  <c r="G147" i="6"/>
  <c r="F147" i="6"/>
  <c r="C146" i="6"/>
  <c r="V145" i="6"/>
  <c r="T145" i="6"/>
  <c r="K149" i="6" s="1"/>
  <c r="R145" i="6"/>
  <c r="K148" i="6" s="1"/>
  <c r="U145" i="6"/>
  <c r="S145" i="6"/>
  <c r="I149" i="6" s="1"/>
  <c r="Q145" i="6"/>
  <c r="I148" i="6" s="1"/>
  <c r="E145" i="6"/>
  <c r="D145" i="6"/>
  <c r="B145" i="6"/>
  <c r="B144" i="6"/>
  <c r="A142" i="6"/>
  <c r="H140" i="6"/>
  <c r="J140" i="6"/>
  <c r="H139" i="6"/>
  <c r="J139" i="6"/>
  <c r="A138" i="6"/>
  <c r="AA135" i="6"/>
  <c r="Z135" i="6"/>
  <c r="Y135" i="6"/>
  <c r="I134" i="6"/>
  <c r="AB134" i="6" s="1"/>
  <c r="H134" i="6"/>
  <c r="G134" i="6"/>
  <c r="E134" i="6"/>
  <c r="J133" i="6"/>
  <c r="E133" i="6"/>
  <c r="J132" i="6"/>
  <c r="E132" i="6"/>
  <c r="J131" i="6"/>
  <c r="E131" i="6"/>
  <c r="K130" i="6"/>
  <c r="J130" i="6"/>
  <c r="H130" i="6"/>
  <c r="AA130" i="6"/>
  <c r="Z130" i="6"/>
  <c r="Y130" i="6"/>
  <c r="I130" i="6"/>
  <c r="X130" i="6" s="1"/>
  <c r="F130" i="6"/>
  <c r="V130" i="6"/>
  <c r="T130" i="6"/>
  <c r="R130" i="6"/>
  <c r="U130" i="6"/>
  <c r="S130" i="6"/>
  <c r="Q130" i="6"/>
  <c r="E130" i="6"/>
  <c r="D130" i="6"/>
  <c r="B130" i="6"/>
  <c r="K129" i="6"/>
  <c r="J129" i="6"/>
  <c r="H129" i="6"/>
  <c r="AA129" i="6"/>
  <c r="Z129" i="6"/>
  <c r="Y129" i="6"/>
  <c r="I129" i="6"/>
  <c r="X129" i="6" s="1"/>
  <c r="F129" i="6"/>
  <c r="V129" i="6"/>
  <c r="T129" i="6"/>
  <c r="R129" i="6"/>
  <c r="U129" i="6"/>
  <c r="S129" i="6"/>
  <c r="Q129" i="6"/>
  <c r="E129" i="6"/>
  <c r="D129" i="6"/>
  <c r="B129" i="6"/>
  <c r="K128" i="6"/>
  <c r="J128" i="6"/>
  <c r="I128" i="6"/>
  <c r="H128" i="6"/>
  <c r="G128" i="6"/>
  <c r="F128" i="6"/>
  <c r="K127" i="6"/>
  <c r="J127" i="6"/>
  <c r="I127" i="6"/>
  <c r="W127" i="6" s="1"/>
  <c r="H127" i="6"/>
  <c r="G127" i="6"/>
  <c r="F127" i="6"/>
  <c r="K126" i="6"/>
  <c r="J126" i="6"/>
  <c r="I126" i="6"/>
  <c r="H126" i="6"/>
  <c r="G126" i="6"/>
  <c r="F126" i="6"/>
  <c r="K125" i="6"/>
  <c r="J125" i="6"/>
  <c r="I125" i="6"/>
  <c r="H125" i="6"/>
  <c r="G125" i="6"/>
  <c r="F125" i="6"/>
  <c r="C124" i="6"/>
  <c r="V123" i="6"/>
  <c r="T123" i="6"/>
  <c r="R123" i="6"/>
  <c r="U123" i="6"/>
  <c r="S123" i="6"/>
  <c r="Q123" i="6"/>
  <c r="E123" i="6"/>
  <c r="D123" i="6"/>
  <c r="B123" i="6"/>
  <c r="AA121" i="6"/>
  <c r="Z121" i="6"/>
  <c r="Y121" i="6"/>
  <c r="I120" i="6"/>
  <c r="AB120" i="6" s="1"/>
  <c r="H120" i="6"/>
  <c r="G120" i="6"/>
  <c r="E120" i="6"/>
  <c r="J119" i="6"/>
  <c r="E119" i="6"/>
  <c r="J118" i="6"/>
  <c r="E118" i="6"/>
  <c r="J117" i="6"/>
  <c r="E117" i="6"/>
  <c r="K116" i="6"/>
  <c r="J116" i="6"/>
  <c r="H116" i="6"/>
  <c r="AA116" i="6"/>
  <c r="Z116" i="6"/>
  <c r="Y116" i="6"/>
  <c r="I116" i="6"/>
  <c r="X116" i="6" s="1"/>
  <c r="F116" i="6"/>
  <c r="V116" i="6"/>
  <c r="T116" i="6"/>
  <c r="R116" i="6"/>
  <c r="U116" i="6"/>
  <c r="S116" i="6"/>
  <c r="Q116" i="6"/>
  <c r="E116" i="6"/>
  <c r="D116" i="6"/>
  <c r="B116" i="6"/>
  <c r="K115" i="6"/>
  <c r="J115" i="6"/>
  <c r="I115" i="6"/>
  <c r="W115" i="6" s="1"/>
  <c r="H115" i="6"/>
  <c r="G115" i="6"/>
  <c r="F115" i="6"/>
  <c r="K114" i="6"/>
  <c r="J114" i="6"/>
  <c r="I114" i="6"/>
  <c r="H114" i="6"/>
  <c r="G114" i="6"/>
  <c r="F114" i="6"/>
  <c r="K113" i="6"/>
  <c r="J113" i="6"/>
  <c r="I113" i="6"/>
  <c r="W113" i="6" s="1"/>
  <c r="H113" i="6"/>
  <c r="G113" i="6"/>
  <c r="F113" i="6"/>
  <c r="C112" i="6"/>
  <c r="V111" i="6"/>
  <c r="T111" i="6"/>
  <c r="R111" i="6"/>
  <c r="U111" i="6"/>
  <c r="I119" i="6" s="1"/>
  <c r="S111" i="6"/>
  <c r="Q111" i="6"/>
  <c r="E111" i="6"/>
  <c r="D111" i="6"/>
  <c r="B111" i="6"/>
  <c r="AA109" i="6"/>
  <c r="Z109" i="6"/>
  <c r="Y109" i="6"/>
  <c r="I108" i="6"/>
  <c r="AB108" i="6" s="1"/>
  <c r="H108" i="6"/>
  <c r="G108" i="6"/>
  <c r="E108" i="6"/>
  <c r="J107" i="6"/>
  <c r="E107" i="6"/>
  <c r="J106" i="6"/>
  <c r="E106" i="6"/>
  <c r="J105" i="6"/>
  <c r="E105" i="6"/>
  <c r="K104" i="6"/>
  <c r="J104" i="6"/>
  <c r="H104" i="6"/>
  <c r="AA104" i="6"/>
  <c r="Z104" i="6"/>
  <c r="Y104" i="6"/>
  <c r="I104" i="6"/>
  <c r="X104" i="6" s="1"/>
  <c r="F104" i="6"/>
  <c r="V104" i="6"/>
  <c r="T104" i="6"/>
  <c r="R104" i="6"/>
  <c r="U104" i="6"/>
  <c r="S104" i="6"/>
  <c r="Q104" i="6"/>
  <c r="E104" i="6"/>
  <c r="D104" i="6"/>
  <c r="B104" i="6"/>
  <c r="K103" i="6"/>
  <c r="J103" i="6"/>
  <c r="H103" i="6"/>
  <c r="AA103" i="6"/>
  <c r="Z103" i="6"/>
  <c r="Y103" i="6"/>
  <c r="I103" i="6"/>
  <c r="X103" i="6" s="1"/>
  <c r="F103" i="6"/>
  <c r="V103" i="6"/>
  <c r="T103" i="6"/>
  <c r="R103" i="6"/>
  <c r="U103" i="6"/>
  <c r="S103" i="6"/>
  <c r="Q103" i="6"/>
  <c r="E103" i="6"/>
  <c r="D103" i="6"/>
  <c r="B103" i="6"/>
  <c r="K102" i="6"/>
  <c r="J102" i="6"/>
  <c r="I102" i="6"/>
  <c r="H102" i="6"/>
  <c r="G102" i="6"/>
  <c r="F102" i="6"/>
  <c r="K101" i="6"/>
  <c r="J101" i="6"/>
  <c r="I101" i="6"/>
  <c r="W101" i="6" s="1"/>
  <c r="H101" i="6"/>
  <c r="G101" i="6"/>
  <c r="F101" i="6"/>
  <c r="K100" i="6"/>
  <c r="J100" i="6"/>
  <c r="I100" i="6"/>
  <c r="H100" i="6"/>
  <c r="G100" i="6"/>
  <c r="F100" i="6"/>
  <c r="K99" i="6"/>
  <c r="J99" i="6"/>
  <c r="I99" i="6"/>
  <c r="W99" i="6" s="1"/>
  <c r="H99" i="6"/>
  <c r="G99" i="6"/>
  <c r="F99" i="6"/>
  <c r="C98" i="6"/>
  <c r="V97" i="6"/>
  <c r="T97" i="6"/>
  <c r="R97" i="6"/>
  <c r="U97" i="6"/>
  <c r="S97" i="6"/>
  <c r="Q97" i="6"/>
  <c r="E97" i="6"/>
  <c r="D97" i="6"/>
  <c r="B97" i="6"/>
  <c r="AA95" i="6"/>
  <c r="Z95" i="6"/>
  <c r="Y95" i="6"/>
  <c r="I94" i="6"/>
  <c r="AB94" i="6" s="1"/>
  <c r="H94" i="6"/>
  <c r="G94" i="6"/>
  <c r="E94" i="6"/>
  <c r="J93" i="6"/>
  <c r="E93" i="6"/>
  <c r="J92" i="6"/>
  <c r="E92" i="6"/>
  <c r="J91" i="6"/>
  <c r="E91" i="6"/>
  <c r="K90" i="6"/>
  <c r="J90" i="6"/>
  <c r="H90" i="6"/>
  <c r="AA90" i="6"/>
  <c r="Z90" i="6"/>
  <c r="Y90" i="6"/>
  <c r="I90" i="6"/>
  <c r="X90" i="6" s="1"/>
  <c r="F90" i="6"/>
  <c r="V90" i="6"/>
  <c r="T90" i="6"/>
  <c r="R90" i="6"/>
  <c r="U90" i="6"/>
  <c r="S90" i="6"/>
  <c r="Q90" i="6"/>
  <c r="E90" i="6"/>
  <c r="D90" i="6"/>
  <c r="B90" i="6"/>
  <c r="K89" i="6"/>
  <c r="J89" i="6"/>
  <c r="H89" i="6"/>
  <c r="AA89" i="6"/>
  <c r="Z89" i="6"/>
  <c r="Y89" i="6"/>
  <c r="I89" i="6"/>
  <c r="X89" i="6" s="1"/>
  <c r="F89" i="6"/>
  <c r="V89" i="6"/>
  <c r="T89" i="6"/>
  <c r="R89" i="6"/>
  <c r="U89" i="6"/>
  <c r="S89" i="6"/>
  <c r="Q89" i="6"/>
  <c r="E89" i="6"/>
  <c r="D89" i="6"/>
  <c r="B89" i="6"/>
  <c r="K88" i="6"/>
  <c r="J88" i="6"/>
  <c r="H88" i="6"/>
  <c r="AA88" i="6"/>
  <c r="Z88" i="6"/>
  <c r="Y88" i="6"/>
  <c r="I88" i="6"/>
  <c r="X88" i="6" s="1"/>
  <c r="F88" i="6"/>
  <c r="V88" i="6"/>
  <c r="T88" i="6"/>
  <c r="R88" i="6"/>
  <c r="U88" i="6"/>
  <c r="S88" i="6"/>
  <c r="Q88" i="6"/>
  <c r="E88" i="6"/>
  <c r="D88" i="6"/>
  <c r="B88" i="6"/>
  <c r="K87" i="6"/>
  <c r="J87" i="6"/>
  <c r="I87" i="6"/>
  <c r="W87" i="6" s="1"/>
  <c r="H87" i="6"/>
  <c r="G87" i="6"/>
  <c r="F87" i="6"/>
  <c r="K86" i="6"/>
  <c r="J86" i="6"/>
  <c r="I86" i="6"/>
  <c r="H86" i="6"/>
  <c r="G86" i="6"/>
  <c r="F86" i="6"/>
  <c r="K85" i="6"/>
  <c r="J85" i="6"/>
  <c r="I85" i="6"/>
  <c r="W85" i="6" s="1"/>
  <c r="H85" i="6"/>
  <c r="G85" i="6"/>
  <c r="F85" i="6"/>
  <c r="C84" i="6"/>
  <c r="V83" i="6"/>
  <c r="T83" i="6"/>
  <c r="R83" i="6"/>
  <c r="U83" i="6"/>
  <c r="S83" i="6"/>
  <c r="Q83" i="6"/>
  <c r="E83" i="6"/>
  <c r="D83" i="6"/>
  <c r="B83" i="6"/>
  <c r="AA81" i="6"/>
  <c r="Z81" i="6"/>
  <c r="Y81" i="6"/>
  <c r="I80" i="6"/>
  <c r="AB80" i="6" s="1"/>
  <c r="H80" i="6"/>
  <c r="G80" i="6"/>
  <c r="E80" i="6"/>
  <c r="J79" i="6"/>
  <c r="E79" i="6"/>
  <c r="J78" i="6"/>
  <c r="E78" i="6"/>
  <c r="J77" i="6"/>
  <c r="E77" i="6"/>
  <c r="K76" i="6"/>
  <c r="J76" i="6"/>
  <c r="H76" i="6"/>
  <c r="AA76" i="6"/>
  <c r="Z76" i="6"/>
  <c r="Y76" i="6"/>
  <c r="I76" i="6"/>
  <c r="X76" i="6" s="1"/>
  <c r="F76" i="6"/>
  <c r="V76" i="6"/>
  <c r="T76" i="6"/>
  <c r="R76" i="6"/>
  <c r="U76" i="6"/>
  <c r="S76" i="6"/>
  <c r="Q76" i="6"/>
  <c r="E76" i="6"/>
  <c r="D76" i="6"/>
  <c r="B76" i="6"/>
  <c r="K75" i="6"/>
  <c r="J75" i="6"/>
  <c r="I75" i="6"/>
  <c r="W75" i="6" s="1"/>
  <c r="H75" i="6"/>
  <c r="G75" i="6"/>
  <c r="F75" i="6"/>
  <c r="K74" i="6"/>
  <c r="J74" i="6"/>
  <c r="I74" i="6"/>
  <c r="H74" i="6"/>
  <c r="G74" i="6"/>
  <c r="F74" i="6"/>
  <c r="K73" i="6"/>
  <c r="J73" i="6"/>
  <c r="I73" i="6"/>
  <c r="H73" i="6"/>
  <c r="G73" i="6"/>
  <c r="F73" i="6"/>
  <c r="C72" i="6"/>
  <c r="V71" i="6"/>
  <c r="T71" i="6"/>
  <c r="R71" i="6"/>
  <c r="U71" i="6"/>
  <c r="I79" i="6" s="1"/>
  <c r="S71" i="6"/>
  <c r="I78" i="6" s="1"/>
  <c r="Q71" i="6"/>
  <c r="E71" i="6"/>
  <c r="D71" i="6"/>
  <c r="B71" i="6"/>
  <c r="B70" i="6"/>
  <c r="AA67" i="6"/>
  <c r="Z67" i="6"/>
  <c r="Y67" i="6"/>
  <c r="I66" i="6"/>
  <c r="AB66" i="6" s="1"/>
  <c r="H66" i="6"/>
  <c r="G66" i="6"/>
  <c r="E66" i="6"/>
  <c r="K65" i="6"/>
  <c r="J65" i="6"/>
  <c r="E65" i="6"/>
  <c r="J64" i="6"/>
  <c r="E64" i="6"/>
  <c r="K63" i="6"/>
  <c r="J63" i="6"/>
  <c r="I63" i="6"/>
  <c r="H63" i="6"/>
  <c r="G63" i="6"/>
  <c r="F63" i="6"/>
  <c r="K62" i="6"/>
  <c r="J62" i="6"/>
  <c r="I62" i="6"/>
  <c r="W62" i="6" s="1"/>
  <c r="H62" i="6"/>
  <c r="G62" i="6"/>
  <c r="F62" i="6"/>
  <c r="C61" i="6"/>
  <c r="V60" i="6"/>
  <c r="T60" i="6"/>
  <c r="R60" i="6"/>
  <c r="K64" i="6" s="1"/>
  <c r="U60" i="6"/>
  <c r="S60" i="6"/>
  <c r="I65" i="6" s="1"/>
  <c r="Q60" i="6"/>
  <c r="I64" i="6" s="1"/>
  <c r="E60" i="6"/>
  <c r="D60" i="6"/>
  <c r="B60" i="6"/>
  <c r="AA58" i="6"/>
  <c r="Z58" i="6"/>
  <c r="Y58" i="6"/>
  <c r="I57" i="6"/>
  <c r="AB57" i="6" s="1"/>
  <c r="H57" i="6"/>
  <c r="G57" i="6"/>
  <c r="E57" i="6"/>
  <c r="J56" i="6"/>
  <c r="E56" i="6"/>
  <c r="J55" i="6"/>
  <c r="E55" i="6"/>
  <c r="J54" i="6"/>
  <c r="E54" i="6"/>
  <c r="K53" i="6"/>
  <c r="J53" i="6"/>
  <c r="I53" i="6"/>
  <c r="W53" i="6" s="1"/>
  <c r="H53" i="6"/>
  <c r="G53" i="6"/>
  <c r="F53" i="6"/>
  <c r="K52" i="6"/>
  <c r="J52" i="6"/>
  <c r="I52" i="6"/>
  <c r="H52" i="6"/>
  <c r="G52" i="6"/>
  <c r="F52" i="6"/>
  <c r="K51" i="6"/>
  <c r="J51" i="6"/>
  <c r="I51" i="6"/>
  <c r="H51" i="6"/>
  <c r="G51" i="6"/>
  <c r="F51" i="6"/>
  <c r="C50" i="6"/>
  <c r="V49" i="6"/>
  <c r="K56" i="6" s="1"/>
  <c r="T49" i="6"/>
  <c r="K55" i="6" s="1"/>
  <c r="R49" i="6"/>
  <c r="K54" i="6" s="1"/>
  <c r="U49" i="6"/>
  <c r="I56" i="6" s="1"/>
  <c r="S49" i="6"/>
  <c r="I55" i="6" s="1"/>
  <c r="Q49" i="6"/>
  <c r="I54" i="6" s="1"/>
  <c r="E49" i="6"/>
  <c r="D49" i="6"/>
  <c r="B49" i="6"/>
  <c r="AA47" i="6"/>
  <c r="Z47" i="6"/>
  <c r="Y47" i="6"/>
  <c r="I46" i="6"/>
  <c r="AB46" i="6" s="1"/>
  <c r="H46" i="6"/>
  <c r="G46" i="6"/>
  <c r="E46" i="6"/>
  <c r="J45" i="6"/>
  <c r="E45" i="6"/>
  <c r="J44" i="6"/>
  <c r="E44" i="6"/>
  <c r="K43" i="6"/>
  <c r="J43" i="6"/>
  <c r="I43" i="6"/>
  <c r="H43" i="6"/>
  <c r="G43" i="6"/>
  <c r="F43" i="6"/>
  <c r="V42" i="6"/>
  <c r="T42" i="6"/>
  <c r="K45" i="6" s="1"/>
  <c r="R42" i="6"/>
  <c r="K44" i="6" s="1"/>
  <c r="U42" i="6"/>
  <c r="S42" i="6"/>
  <c r="I45" i="6" s="1"/>
  <c r="Q42" i="6"/>
  <c r="I44" i="6" s="1"/>
  <c r="E42" i="6"/>
  <c r="D42" i="6"/>
  <c r="B42" i="6"/>
  <c r="B41" i="6"/>
  <c r="A39" i="6"/>
  <c r="A37" i="6"/>
  <c r="A19" i="6"/>
  <c r="A14" i="6"/>
  <c r="K304" i="6" l="1"/>
  <c r="P337" i="6"/>
  <c r="I395" i="6"/>
  <c r="K188" i="6"/>
  <c r="P192" i="6" s="1"/>
  <c r="K77" i="6"/>
  <c r="K117" i="6"/>
  <c r="I77" i="6"/>
  <c r="I494" i="6"/>
  <c r="I536" i="6"/>
  <c r="H540" i="6" s="1"/>
  <c r="I495" i="6"/>
  <c r="I188" i="6"/>
  <c r="K118" i="6"/>
  <c r="I133" i="6"/>
  <c r="H658" i="6"/>
  <c r="K91" i="6"/>
  <c r="I439" i="6"/>
  <c r="I303" i="6"/>
  <c r="K407" i="6"/>
  <c r="P411" i="6" s="1"/>
  <c r="K494" i="6"/>
  <c r="J497" i="6" s="1"/>
  <c r="I386" i="6"/>
  <c r="O388" i="6" s="1"/>
  <c r="I106" i="6"/>
  <c r="I467" i="6"/>
  <c r="I572" i="6"/>
  <c r="I616" i="6"/>
  <c r="K205" i="6"/>
  <c r="I249" i="6"/>
  <c r="K303" i="6"/>
  <c r="X337" i="6"/>
  <c r="I573" i="6"/>
  <c r="K189" i="6"/>
  <c r="K235" i="6"/>
  <c r="K190" i="6"/>
  <c r="K247" i="6"/>
  <c r="P251" i="6" s="1"/>
  <c r="I247" i="6"/>
  <c r="I263" i="6"/>
  <c r="K385" i="6"/>
  <c r="P388" i="6" s="1"/>
  <c r="K395" i="6"/>
  <c r="K602" i="6"/>
  <c r="X654" i="6"/>
  <c r="O658" i="6"/>
  <c r="I132" i="6"/>
  <c r="K203" i="6"/>
  <c r="I291" i="6"/>
  <c r="K396" i="6"/>
  <c r="I318" i="6"/>
  <c r="K453" i="6"/>
  <c r="I468" i="6"/>
  <c r="I480" i="6"/>
  <c r="K495" i="6"/>
  <c r="K507" i="6"/>
  <c r="K571" i="6"/>
  <c r="I571" i="6"/>
  <c r="O575" i="6" s="1"/>
  <c r="I617" i="6"/>
  <c r="P654" i="6"/>
  <c r="K79" i="6"/>
  <c r="K105" i="6"/>
  <c r="K263" i="6"/>
  <c r="K290" i="6"/>
  <c r="P375" i="6"/>
  <c r="I424" i="6"/>
  <c r="K466" i="6"/>
  <c r="I466" i="6"/>
  <c r="K537" i="6"/>
  <c r="I550" i="6"/>
  <c r="K615" i="6"/>
  <c r="I615" i="6"/>
  <c r="O619" i="6" s="1"/>
  <c r="K639" i="6"/>
  <c r="I219" i="6"/>
  <c r="I234" i="6"/>
  <c r="K317" i="6"/>
  <c r="I438" i="6"/>
  <c r="K318" i="6"/>
  <c r="K409" i="6"/>
  <c r="K107" i="6"/>
  <c r="K220" i="6"/>
  <c r="J356" i="6"/>
  <c r="I506" i="6"/>
  <c r="K92" i="6"/>
  <c r="I220" i="6"/>
  <c r="K248" i="6"/>
  <c r="K291" i="6"/>
  <c r="I304" i="6"/>
  <c r="K319" i="6"/>
  <c r="P321" i="6" s="1"/>
  <c r="X356" i="6"/>
  <c r="K422" i="6"/>
  <c r="I437" i="6"/>
  <c r="I507" i="6"/>
  <c r="K538" i="6"/>
  <c r="K548" i="6"/>
  <c r="H662" i="6"/>
  <c r="J58" i="6"/>
  <c r="K93" i="6"/>
  <c r="K132" i="6"/>
  <c r="K233" i="6"/>
  <c r="I233" i="6"/>
  <c r="K249" i="6"/>
  <c r="K262" i="6"/>
  <c r="K292" i="6"/>
  <c r="I305" i="6"/>
  <c r="J367" i="6"/>
  <c r="K423" i="6"/>
  <c r="I452" i="6"/>
  <c r="K468" i="6"/>
  <c r="I482" i="6"/>
  <c r="K549" i="6"/>
  <c r="P561" i="6"/>
  <c r="K573" i="6"/>
  <c r="O662" i="6"/>
  <c r="H67" i="6"/>
  <c r="K78" i="6"/>
  <c r="I105" i="6"/>
  <c r="I118" i="6"/>
  <c r="K133" i="6"/>
  <c r="I131" i="6"/>
  <c r="X135" i="6" s="1"/>
  <c r="J159" i="6"/>
  <c r="I218" i="6"/>
  <c r="X222" i="6" s="1"/>
  <c r="K386" i="6"/>
  <c r="I407" i="6"/>
  <c r="K424" i="6"/>
  <c r="J426" i="6" s="1"/>
  <c r="K480" i="6"/>
  <c r="I493" i="6"/>
  <c r="K506" i="6"/>
  <c r="K264" i="6"/>
  <c r="I454" i="6"/>
  <c r="X456" i="6" s="1"/>
  <c r="K481" i="6"/>
  <c r="I601" i="6"/>
  <c r="P58" i="6"/>
  <c r="X151" i="6"/>
  <c r="I91" i="6"/>
  <c r="I107" i="6"/>
  <c r="O109" i="6" s="1"/>
  <c r="J178" i="6"/>
  <c r="K204" i="6"/>
  <c r="I290" i="6"/>
  <c r="I292" i="6"/>
  <c r="K305" i="6"/>
  <c r="K437" i="6"/>
  <c r="K452" i="6"/>
  <c r="K508" i="6"/>
  <c r="I537" i="6"/>
  <c r="X540" i="6" s="1"/>
  <c r="K616" i="6"/>
  <c r="I640" i="6"/>
  <c r="I24" i="6"/>
  <c r="I92" i="6"/>
  <c r="K131" i="6"/>
  <c r="I235" i="6"/>
  <c r="I248" i="6"/>
  <c r="X251" i="6" s="1"/>
  <c r="I319" i="6"/>
  <c r="H337" i="6"/>
  <c r="I422" i="6"/>
  <c r="I548" i="6"/>
  <c r="I603" i="6"/>
  <c r="K617" i="6"/>
  <c r="I625" i="6"/>
  <c r="X628" i="6" s="1"/>
  <c r="K638" i="6"/>
  <c r="I638" i="6"/>
  <c r="J654" i="6"/>
  <c r="I25" i="6"/>
  <c r="P67" i="6"/>
  <c r="I93" i="6"/>
  <c r="K106" i="6"/>
  <c r="K119" i="6"/>
  <c r="I117" i="6"/>
  <c r="I204" i="6"/>
  <c r="K219" i="6"/>
  <c r="I262" i="6"/>
  <c r="I264" i="6"/>
  <c r="I272" i="6"/>
  <c r="H275" i="6" s="1"/>
  <c r="I317" i="6"/>
  <c r="I423" i="6"/>
  <c r="X426" i="6" s="1"/>
  <c r="K439" i="6"/>
  <c r="I558" i="6"/>
  <c r="O561" i="6" s="1"/>
  <c r="H589" i="6"/>
  <c r="O67" i="6"/>
  <c r="J47" i="6"/>
  <c r="P47" i="6"/>
  <c r="X47" i="6"/>
  <c r="O81" i="6"/>
  <c r="J151" i="6"/>
  <c r="P151" i="6"/>
  <c r="H159" i="6"/>
  <c r="H58" i="6"/>
  <c r="O95" i="6"/>
  <c r="O178" i="6"/>
  <c r="X178" i="6"/>
  <c r="X67" i="6"/>
  <c r="P81" i="6"/>
  <c r="P159" i="6"/>
  <c r="O356" i="6"/>
  <c r="X367" i="6"/>
  <c r="O375" i="6"/>
  <c r="X375" i="6"/>
  <c r="H375" i="6"/>
  <c r="W371" i="6"/>
  <c r="P628" i="6"/>
  <c r="J628" i="6"/>
  <c r="X167" i="6"/>
  <c r="H47" i="6"/>
  <c r="W51" i="6"/>
  <c r="O58" i="6"/>
  <c r="W73" i="6"/>
  <c r="J95" i="6"/>
  <c r="W125" i="6"/>
  <c r="H151" i="6"/>
  <c r="W155" i="6"/>
  <c r="W163" i="6"/>
  <c r="H167" i="6"/>
  <c r="I189" i="6"/>
  <c r="J192" i="6"/>
  <c r="I203" i="6"/>
  <c r="X207" i="6" s="1"/>
  <c r="K234" i="6"/>
  <c r="P237" i="6" s="1"/>
  <c r="H345" i="6"/>
  <c r="X345" i="6"/>
  <c r="W341" i="6"/>
  <c r="J375" i="6"/>
  <c r="H575" i="6"/>
  <c r="W565" i="6"/>
  <c r="X575" i="6"/>
  <c r="P589" i="6"/>
  <c r="J589" i="6"/>
  <c r="X81" i="6"/>
  <c r="I28" i="6"/>
  <c r="I26" i="6"/>
  <c r="X58" i="6"/>
  <c r="J67" i="6"/>
  <c r="H81" i="6"/>
  <c r="O151" i="6"/>
  <c r="O167" i="6"/>
  <c r="P178" i="6"/>
  <c r="I190" i="6"/>
  <c r="P275" i="6"/>
  <c r="W311" i="6"/>
  <c r="J337" i="6"/>
  <c r="P345" i="6"/>
  <c r="J345" i="6"/>
  <c r="P356" i="6"/>
  <c r="O159" i="6"/>
  <c r="O47" i="6"/>
  <c r="W43" i="6"/>
  <c r="W147" i="6"/>
  <c r="X159" i="6"/>
  <c r="P167" i="6"/>
  <c r="J167" i="6"/>
  <c r="H178" i="6"/>
  <c r="I205" i="6"/>
  <c r="W196" i="6"/>
  <c r="K218" i="6"/>
  <c r="J251" i="6"/>
  <c r="J275" i="6"/>
  <c r="O345" i="6"/>
  <c r="P367" i="6"/>
  <c r="X470" i="6"/>
  <c r="H367" i="6"/>
  <c r="H388" i="6"/>
  <c r="J398" i="6"/>
  <c r="K467" i="6"/>
  <c r="I481" i="6"/>
  <c r="O484" i="6" s="1"/>
  <c r="K482" i="6"/>
  <c r="P527" i="6"/>
  <c r="K536" i="6"/>
  <c r="J540" i="6" s="1"/>
  <c r="X561" i="6"/>
  <c r="H561" i="6"/>
  <c r="W556" i="6"/>
  <c r="K601" i="6"/>
  <c r="J207" i="6"/>
  <c r="W241" i="6"/>
  <c r="W270" i="6"/>
  <c r="W298" i="6"/>
  <c r="O337" i="6"/>
  <c r="H356" i="6"/>
  <c r="W360" i="6"/>
  <c r="O367" i="6"/>
  <c r="I396" i="6"/>
  <c r="O398" i="6" s="1"/>
  <c r="K438" i="6"/>
  <c r="I453" i="6"/>
  <c r="K454" i="6"/>
  <c r="I549" i="6"/>
  <c r="K550" i="6"/>
  <c r="K572" i="6"/>
  <c r="X589" i="6"/>
  <c r="W609" i="6"/>
  <c r="I639" i="6"/>
  <c r="K640" i="6"/>
  <c r="W226" i="6"/>
  <c r="W333" i="6"/>
  <c r="W349" i="6"/>
  <c r="J388" i="6"/>
  <c r="I409" i="6"/>
  <c r="H411" i="6" s="1"/>
  <c r="W402" i="6"/>
  <c r="O470" i="6"/>
  <c r="H470" i="6"/>
  <c r="W460" i="6"/>
  <c r="X527" i="6"/>
  <c r="O527" i="6"/>
  <c r="W520" i="6"/>
  <c r="H527" i="6"/>
  <c r="J561" i="6"/>
  <c r="I602" i="6"/>
  <c r="K603" i="6"/>
  <c r="P662" i="6"/>
  <c r="J665" i="6" s="1"/>
  <c r="J662" i="6"/>
  <c r="J22" i="6"/>
  <c r="X388" i="6"/>
  <c r="O589" i="6"/>
  <c r="H654" i="6"/>
  <c r="H441" i="6"/>
  <c r="O510" i="6"/>
  <c r="J527" i="6"/>
  <c r="W543" i="6"/>
  <c r="W585" i="6"/>
  <c r="W623" i="6"/>
  <c r="W632" i="6"/>
  <c r="O654" i="6"/>
  <c r="H665" i="6" s="1"/>
  <c r="J658" i="6"/>
  <c r="W381" i="6"/>
  <c r="W392" i="6"/>
  <c r="W488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1" i="3"/>
  <c r="Y1" i="3"/>
  <c r="CU1" i="3"/>
  <c r="CV1" i="3"/>
  <c r="CX1" i="3"/>
  <c r="DI1" i="3" s="1"/>
  <c r="DJ1" i="3" s="1"/>
  <c r="CY1" i="3"/>
  <c r="CZ1" i="3"/>
  <c r="DA1" i="3"/>
  <c r="DB1" i="3"/>
  <c r="DC1" i="3"/>
  <c r="DF1" i="3"/>
  <c r="DG1" i="3"/>
  <c r="DH1" i="3"/>
  <c r="A2" i="3"/>
  <c r="Y2" i="3"/>
  <c r="CY2" i="3"/>
  <c r="CZ2" i="3"/>
  <c r="DA2" i="3"/>
  <c r="DB2" i="3"/>
  <c r="DC2" i="3"/>
  <c r="A3" i="3"/>
  <c r="Y3" i="3"/>
  <c r="CY3" i="3"/>
  <c r="CZ3" i="3"/>
  <c r="DB3" i="3" s="1"/>
  <c r="DA3" i="3"/>
  <c r="DC3" i="3"/>
  <c r="A4" i="3"/>
  <c r="Y4" i="3"/>
  <c r="CY4" i="3"/>
  <c r="CZ4" i="3"/>
  <c r="DA4" i="3"/>
  <c r="DB4" i="3"/>
  <c r="DC4" i="3"/>
  <c r="A5" i="3"/>
  <c r="Y5" i="3"/>
  <c r="CY5" i="3"/>
  <c r="CZ5" i="3"/>
  <c r="DB5" i="3" s="1"/>
  <c r="DA5" i="3"/>
  <c r="DC5" i="3"/>
  <c r="A6" i="3"/>
  <c r="Y6" i="3"/>
  <c r="CY6" i="3"/>
  <c r="CZ6" i="3"/>
  <c r="DA6" i="3"/>
  <c r="DB6" i="3"/>
  <c r="DC6" i="3"/>
  <c r="A7" i="3"/>
  <c r="Y7" i="3"/>
  <c r="CY7" i="3"/>
  <c r="CZ7" i="3"/>
  <c r="DB7" i="3" s="1"/>
  <c r="DA7" i="3"/>
  <c r="DC7" i="3"/>
  <c r="A8" i="3"/>
  <c r="Y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Y10" i="3"/>
  <c r="CZ10" i="3"/>
  <c r="DA10" i="3"/>
  <c r="DB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B13" i="3" s="1"/>
  <c r="DA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B19" i="3" s="1"/>
  <c r="DA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A23" i="3"/>
  <c r="DB23" i="3"/>
  <c r="DC23" i="3"/>
  <c r="A24" i="3"/>
  <c r="Y24" i="3"/>
  <c r="CY24" i="3"/>
  <c r="CZ24" i="3"/>
  <c r="DB24" i="3" s="1"/>
  <c r="DA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B26" i="3" s="1"/>
  <c r="DA26" i="3"/>
  <c r="DC26" i="3"/>
  <c r="A27" i="3"/>
  <c r="Y27" i="3"/>
  <c r="CY27" i="3"/>
  <c r="CZ27" i="3"/>
  <c r="DA27" i="3"/>
  <c r="DB27" i="3"/>
  <c r="DC27" i="3"/>
  <c r="A28" i="3"/>
  <c r="Y28" i="3"/>
  <c r="CY28" i="3"/>
  <c r="CZ28" i="3"/>
  <c r="DB28" i="3" s="1"/>
  <c r="DA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B33" i="3" s="1"/>
  <c r="DA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B35" i="3" s="1"/>
  <c r="DA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B42" i="3" s="1"/>
  <c r="DA42" i="3"/>
  <c r="DC42" i="3"/>
  <c r="A43" i="3"/>
  <c r="Y43" i="3"/>
  <c r="CY43" i="3"/>
  <c r="CZ43" i="3"/>
  <c r="DB43" i="3" s="1"/>
  <c r="DA43" i="3"/>
  <c r="DC43" i="3"/>
  <c r="A44" i="3"/>
  <c r="Y44" i="3"/>
  <c r="CY44" i="3"/>
  <c r="CZ44" i="3"/>
  <c r="DA44" i="3"/>
  <c r="DB44" i="3"/>
  <c r="DC44" i="3"/>
  <c r="A45" i="3"/>
  <c r="Y45" i="3"/>
  <c r="CY45" i="3"/>
  <c r="CZ45" i="3"/>
  <c r="DB45" i="3" s="1"/>
  <c r="DA45" i="3"/>
  <c r="DC45" i="3"/>
  <c r="A46" i="3"/>
  <c r="Y46" i="3"/>
  <c r="CY46" i="3"/>
  <c r="CZ46" i="3"/>
  <c r="DB46" i="3" s="1"/>
  <c r="DA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A48" i="3"/>
  <c r="DB48" i="3"/>
  <c r="DC48" i="3"/>
  <c r="A49" i="3"/>
  <c r="Y49" i="3"/>
  <c r="CY49" i="3"/>
  <c r="CZ49" i="3"/>
  <c r="DB49" i="3" s="1"/>
  <c r="DA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B54" i="3" s="1"/>
  <c r="DA54" i="3"/>
  <c r="DC54" i="3"/>
  <c r="A55" i="3"/>
  <c r="Y55" i="3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B57" i="3" s="1"/>
  <c r="DA57" i="3"/>
  <c r="DC57" i="3"/>
  <c r="A58" i="3"/>
  <c r="Y58" i="3"/>
  <c r="CY58" i="3"/>
  <c r="CZ58" i="3"/>
  <c r="DB58" i="3" s="1"/>
  <c r="DA58" i="3"/>
  <c r="DC58" i="3"/>
  <c r="A59" i="3"/>
  <c r="Y59" i="3"/>
  <c r="CY59" i="3"/>
  <c r="CZ59" i="3"/>
  <c r="DA59" i="3"/>
  <c r="DB59" i="3"/>
  <c r="DC59" i="3"/>
  <c r="A60" i="3"/>
  <c r="Y60" i="3"/>
  <c r="CY60" i="3"/>
  <c r="CZ60" i="3"/>
  <c r="DA60" i="3"/>
  <c r="DB60" i="3"/>
  <c r="DC60" i="3"/>
  <c r="A61" i="3"/>
  <c r="Y61" i="3"/>
  <c r="CY61" i="3"/>
  <c r="CZ61" i="3"/>
  <c r="DB61" i="3" s="1"/>
  <c r="DA61" i="3"/>
  <c r="DC61" i="3"/>
  <c r="A62" i="3"/>
  <c r="Y62" i="3"/>
  <c r="CY62" i="3"/>
  <c r="CZ62" i="3"/>
  <c r="DB62" i="3" s="1"/>
  <c r="DA62" i="3"/>
  <c r="DC62" i="3"/>
  <c r="A63" i="3"/>
  <c r="Y63" i="3"/>
  <c r="CY63" i="3"/>
  <c r="CZ63" i="3"/>
  <c r="DB63" i="3" s="1"/>
  <c r="DA63" i="3"/>
  <c r="DC63" i="3"/>
  <c r="A64" i="3"/>
  <c r="Y64" i="3"/>
  <c r="CY64" i="3"/>
  <c r="CZ64" i="3"/>
  <c r="DA64" i="3"/>
  <c r="DB64" i="3"/>
  <c r="DC64" i="3"/>
  <c r="A65" i="3"/>
  <c r="Y65" i="3"/>
  <c r="CY65" i="3"/>
  <c r="CZ65" i="3"/>
  <c r="DA65" i="3"/>
  <c r="DB65" i="3"/>
  <c r="DC65" i="3"/>
  <c r="A66" i="3"/>
  <c r="Y66" i="3"/>
  <c r="CY66" i="3"/>
  <c r="CZ66" i="3"/>
  <c r="DB66" i="3" s="1"/>
  <c r="DA66" i="3"/>
  <c r="DC66" i="3"/>
  <c r="A67" i="3"/>
  <c r="Y67" i="3"/>
  <c r="CY67" i="3"/>
  <c r="CZ67" i="3"/>
  <c r="DA67" i="3"/>
  <c r="DB67" i="3"/>
  <c r="DC67" i="3"/>
  <c r="A68" i="3"/>
  <c r="Y68" i="3"/>
  <c r="CY68" i="3"/>
  <c r="CZ68" i="3"/>
  <c r="DB68" i="3" s="1"/>
  <c r="DA68" i="3"/>
  <c r="DC68" i="3"/>
  <c r="A69" i="3"/>
  <c r="Y69" i="3"/>
  <c r="CY69" i="3"/>
  <c r="CZ69" i="3"/>
  <c r="DA69" i="3"/>
  <c r="DB69" i="3"/>
  <c r="DC69" i="3"/>
  <c r="A70" i="3"/>
  <c r="Y70" i="3"/>
  <c r="CY70" i="3"/>
  <c r="CZ70" i="3"/>
  <c r="DA70" i="3"/>
  <c r="DB70" i="3"/>
  <c r="DC70" i="3"/>
  <c r="A71" i="3"/>
  <c r="Y71" i="3"/>
  <c r="CY71" i="3"/>
  <c r="CZ71" i="3"/>
  <c r="DB71" i="3" s="1"/>
  <c r="DA71" i="3"/>
  <c r="DC71" i="3"/>
  <c r="A72" i="3"/>
  <c r="Y72" i="3"/>
  <c r="CY72" i="3"/>
  <c r="CZ72" i="3"/>
  <c r="DB72" i="3" s="1"/>
  <c r="DA72" i="3"/>
  <c r="DC72" i="3"/>
  <c r="A73" i="3"/>
  <c r="Y73" i="3"/>
  <c r="CY73" i="3"/>
  <c r="CZ73" i="3"/>
  <c r="DA73" i="3"/>
  <c r="DB73" i="3"/>
  <c r="DC73" i="3"/>
  <c r="A74" i="3"/>
  <c r="Y74" i="3"/>
  <c r="CY74" i="3"/>
  <c r="CZ74" i="3"/>
  <c r="DB74" i="3" s="1"/>
  <c r="DA74" i="3"/>
  <c r="DC74" i="3"/>
  <c r="A75" i="3"/>
  <c r="Y75" i="3"/>
  <c r="CY75" i="3"/>
  <c r="CZ75" i="3"/>
  <c r="DA75" i="3"/>
  <c r="DB75" i="3"/>
  <c r="DC75" i="3"/>
  <c r="A76" i="3"/>
  <c r="Y76" i="3"/>
  <c r="CY76" i="3"/>
  <c r="CZ76" i="3"/>
  <c r="DB76" i="3" s="1"/>
  <c r="DA76" i="3"/>
  <c r="DC76" i="3"/>
  <c r="A77" i="3"/>
  <c r="Y77" i="3"/>
  <c r="CY77" i="3"/>
  <c r="CZ77" i="3"/>
  <c r="DB77" i="3" s="1"/>
  <c r="DA77" i="3"/>
  <c r="DC77" i="3"/>
  <c r="A78" i="3"/>
  <c r="Y78" i="3"/>
  <c r="CY78" i="3"/>
  <c r="CZ78" i="3"/>
  <c r="DB78" i="3" s="1"/>
  <c r="DA78" i="3"/>
  <c r="DC78" i="3"/>
  <c r="A79" i="3"/>
  <c r="Y79" i="3"/>
  <c r="CY79" i="3"/>
  <c r="CZ79" i="3"/>
  <c r="DA79" i="3"/>
  <c r="DB79" i="3"/>
  <c r="DC79" i="3"/>
  <c r="A80" i="3"/>
  <c r="Y80" i="3"/>
  <c r="CY80" i="3"/>
  <c r="CZ80" i="3"/>
  <c r="DB80" i="3" s="1"/>
  <c r="DA80" i="3"/>
  <c r="DC80" i="3"/>
  <c r="A81" i="3"/>
  <c r="Y81" i="3"/>
  <c r="CY81" i="3"/>
  <c r="CZ81" i="3"/>
  <c r="DA81" i="3"/>
  <c r="DB81" i="3"/>
  <c r="DC81" i="3"/>
  <c r="A82" i="3"/>
  <c r="Y82" i="3"/>
  <c r="CY82" i="3"/>
  <c r="CZ82" i="3"/>
  <c r="DB82" i="3" s="1"/>
  <c r="DA82" i="3"/>
  <c r="DC82" i="3"/>
  <c r="A83" i="3"/>
  <c r="Y83" i="3"/>
  <c r="CY83" i="3"/>
  <c r="CZ83" i="3"/>
  <c r="DA83" i="3"/>
  <c r="DB83" i="3"/>
  <c r="DC83" i="3"/>
  <c r="A84" i="3"/>
  <c r="Y84" i="3"/>
  <c r="CY84" i="3"/>
  <c r="CZ84" i="3"/>
  <c r="DB84" i="3" s="1"/>
  <c r="DA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B86" i="3" s="1"/>
  <c r="DA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B88" i="3" s="1"/>
  <c r="DA88" i="3"/>
  <c r="DC88" i="3"/>
  <c r="A89" i="3"/>
  <c r="Y89" i="3"/>
  <c r="CY89" i="3"/>
  <c r="CZ89" i="3"/>
  <c r="DB89" i="3" s="1"/>
  <c r="DA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A91" i="3"/>
  <c r="DB91" i="3"/>
  <c r="DC91" i="3"/>
  <c r="A92" i="3"/>
  <c r="Y92" i="3"/>
  <c r="CY92" i="3"/>
  <c r="CZ92" i="3"/>
  <c r="DB92" i="3" s="1"/>
  <c r="DA92" i="3"/>
  <c r="DC92" i="3"/>
  <c r="A93" i="3"/>
  <c r="Y93" i="3"/>
  <c r="CY93" i="3"/>
  <c r="CZ93" i="3"/>
  <c r="DB93" i="3" s="1"/>
  <c r="DA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B96" i="3" s="1"/>
  <c r="DA96" i="3"/>
  <c r="DC96" i="3"/>
  <c r="A97" i="3"/>
  <c r="Y97" i="3"/>
  <c r="CY97" i="3"/>
  <c r="CZ97" i="3"/>
  <c r="DB97" i="3" s="1"/>
  <c r="DA97" i="3"/>
  <c r="DC97" i="3"/>
  <c r="A98" i="3"/>
  <c r="Y98" i="3"/>
  <c r="CY98" i="3"/>
  <c r="CZ98" i="3"/>
  <c r="DA98" i="3"/>
  <c r="DB98" i="3"/>
  <c r="DC98" i="3"/>
  <c r="A99" i="3"/>
  <c r="Y99" i="3"/>
  <c r="CU99" i="3"/>
  <c r="CY99" i="3"/>
  <c r="CZ99" i="3"/>
  <c r="DB99" i="3" s="1"/>
  <c r="DA99" i="3"/>
  <c r="DC99" i="3"/>
  <c r="A100" i="3"/>
  <c r="Y100" i="3"/>
  <c r="CX100" i="3"/>
  <c r="DH100" i="3" s="1"/>
  <c r="CY100" i="3"/>
  <c r="CZ100" i="3"/>
  <c r="DA100" i="3"/>
  <c r="DB100" i="3"/>
  <c r="DC100" i="3"/>
  <c r="A101" i="3"/>
  <c r="Y101" i="3"/>
  <c r="CY101" i="3"/>
  <c r="CZ101" i="3"/>
  <c r="DA101" i="3"/>
  <c r="DB101" i="3"/>
  <c r="DC101" i="3"/>
  <c r="A102" i="3"/>
  <c r="Y102" i="3"/>
  <c r="CY102" i="3"/>
  <c r="CZ102" i="3"/>
  <c r="DB102" i="3" s="1"/>
  <c r="DA102" i="3"/>
  <c r="DC102" i="3"/>
  <c r="A103" i="3"/>
  <c r="Y103" i="3"/>
  <c r="CY103" i="3"/>
  <c r="CZ103" i="3"/>
  <c r="DB103" i="3" s="1"/>
  <c r="DA103" i="3"/>
  <c r="DC103" i="3"/>
  <c r="A104" i="3"/>
  <c r="Y104" i="3"/>
  <c r="CY104" i="3"/>
  <c r="CZ104" i="3"/>
  <c r="DA104" i="3"/>
  <c r="DB104" i="3"/>
  <c r="DC104" i="3"/>
  <c r="A105" i="3"/>
  <c r="Y105" i="3"/>
  <c r="CY105" i="3"/>
  <c r="CZ105" i="3"/>
  <c r="DA105" i="3"/>
  <c r="DB105" i="3"/>
  <c r="DC105" i="3"/>
  <c r="A106" i="3"/>
  <c r="Y106" i="3"/>
  <c r="CY106" i="3"/>
  <c r="CZ106" i="3"/>
  <c r="DB106" i="3" s="1"/>
  <c r="DA106" i="3"/>
  <c r="DC106" i="3"/>
  <c r="A107" i="3"/>
  <c r="Y107" i="3"/>
  <c r="CY107" i="3"/>
  <c r="CZ107" i="3"/>
  <c r="DA107" i="3"/>
  <c r="DB107" i="3"/>
  <c r="DC107" i="3"/>
  <c r="A108" i="3"/>
  <c r="Y108" i="3"/>
  <c r="CY108" i="3"/>
  <c r="CZ108" i="3"/>
  <c r="DB108" i="3" s="1"/>
  <c r="DA108" i="3"/>
  <c r="DC108" i="3"/>
  <c r="A109" i="3"/>
  <c r="Y109" i="3"/>
  <c r="CY109" i="3"/>
  <c r="CZ109" i="3"/>
  <c r="DA109" i="3"/>
  <c r="DB109" i="3"/>
  <c r="DC109" i="3"/>
  <c r="A110" i="3"/>
  <c r="Y110" i="3"/>
  <c r="CY110" i="3"/>
  <c r="CZ110" i="3"/>
  <c r="DB110" i="3" s="1"/>
  <c r="DA110" i="3"/>
  <c r="DC110" i="3"/>
  <c r="A111" i="3"/>
  <c r="Y111" i="3"/>
  <c r="CY111" i="3"/>
  <c r="CZ111" i="3"/>
  <c r="DA111" i="3"/>
  <c r="DB111" i="3"/>
  <c r="DC111" i="3"/>
  <c r="A112" i="3"/>
  <c r="Y112" i="3"/>
  <c r="CY112" i="3"/>
  <c r="CZ112" i="3"/>
  <c r="DA112" i="3"/>
  <c r="DB112" i="3"/>
  <c r="DC112" i="3"/>
  <c r="A113" i="3"/>
  <c r="Y113" i="3"/>
  <c r="CY113" i="3"/>
  <c r="CZ113" i="3"/>
  <c r="DB113" i="3" s="1"/>
  <c r="DA113" i="3"/>
  <c r="DC113" i="3"/>
  <c r="A114" i="3"/>
  <c r="Y114" i="3"/>
  <c r="CY114" i="3"/>
  <c r="CZ114" i="3"/>
  <c r="DB114" i="3" s="1"/>
  <c r="DA114" i="3"/>
  <c r="DC114" i="3"/>
  <c r="A115" i="3"/>
  <c r="Y115" i="3"/>
  <c r="CY115" i="3"/>
  <c r="CZ115" i="3"/>
  <c r="DB115" i="3" s="1"/>
  <c r="DA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B118" i="3" s="1"/>
  <c r="DA118" i="3"/>
  <c r="DC118" i="3"/>
  <c r="A119" i="3"/>
  <c r="Y119" i="3"/>
  <c r="CY119" i="3"/>
  <c r="CZ119" i="3"/>
  <c r="DB119" i="3" s="1"/>
  <c r="DA119" i="3"/>
  <c r="DC119" i="3"/>
  <c r="A120" i="3"/>
  <c r="Y120" i="3"/>
  <c r="CY120" i="3"/>
  <c r="CZ120" i="3"/>
  <c r="DA120" i="3"/>
  <c r="DB120" i="3"/>
  <c r="DC120" i="3"/>
  <c r="A121" i="3"/>
  <c r="Y121" i="3"/>
  <c r="CY121" i="3"/>
  <c r="CZ121" i="3"/>
  <c r="DA121" i="3"/>
  <c r="DB121" i="3"/>
  <c r="DC121" i="3"/>
  <c r="A122" i="3"/>
  <c r="Y122" i="3"/>
  <c r="CY122" i="3"/>
  <c r="CZ122" i="3"/>
  <c r="DA122" i="3"/>
  <c r="DB122" i="3"/>
  <c r="DC122" i="3"/>
  <c r="A123" i="3"/>
  <c r="Y123" i="3"/>
  <c r="CY123" i="3"/>
  <c r="CZ123" i="3"/>
  <c r="DB123" i="3" s="1"/>
  <c r="DA123" i="3"/>
  <c r="DC123" i="3"/>
  <c r="A124" i="3"/>
  <c r="Y124" i="3"/>
  <c r="CY124" i="3"/>
  <c r="CZ124" i="3"/>
  <c r="DB124" i="3" s="1"/>
  <c r="DA124" i="3"/>
  <c r="DC124" i="3"/>
  <c r="A125" i="3"/>
  <c r="Y125" i="3"/>
  <c r="CY125" i="3"/>
  <c r="CZ125" i="3"/>
  <c r="DA125" i="3"/>
  <c r="DB125" i="3"/>
  <c r="DC125" i="3"/>
  <c r="A126" i="3"/>
  <c r="Y126" i="3"/>
  <c r="CY126" i="3"/>
  <c r="CZ126" i="3"/>
  <c r="DA126" i="3"/>
  <c r="DB126" i="3"/>
  <c r="DC126" i="3"/>
  <c r="A127" i="3"/>
  <c r="Y127" i="3"/>
  <c r="CY127" i="3"/>
  <c r="CZ127" i="3"/>
  <c r="DB127" i="3" s="1"/>
  <c r="DA127" i="3"/>
  <c r="DC127" i="3"/>
  <c r="A128" i="3"/>
  <c r="Y128" i="3"/>
  <c r="CY128" i="3"/>
  <c r="CZ128" i="3"/>
  <c r="DB128" i="3" s="1"/>
  <c r="DA128" i="3"/>
  <c r="DC128" i="3"/>
  <c r="A129" i="3"/>
  <c r="Y129" i="3"/>
  <c r="CY129" i="3"/>
  <c r="CZ129" i="3"/>
  <c r="DB129" i="3" s="1"/>
  <c r="DA129" i="3"/>
  <c r="DC129" i="3"/>
  <c r="A130" i="3"/>
  <c r="Y130" i="3"/>
  <c r="CY130" i="3"/>
  <c r="CZ130" i="3"/>
  <c r="DB130" i="3" s="1"/>
  <c r="DA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A132" i="3"/>
  <c r="DB132" i="3"/>
  <c r="DC132" i="3"/>
  <c r="A133" i="3"/>
  <c r="Y133" i="3"/>
  <c r="CY133" i="3"/>
  <c r="CZ133" i="3"/>
  <c r="DB133" i="3" s="1"/>
  <c r="DA133" i="3"/>
  <c r="DC133" i="3"/>
  <c r="A134" i="3"/>
  <c r="Y134" i="3"/>
  <c r="CY134" i="3"/>
  <c r="CZ134" i="3"/>
  <c r="DB134" i="3" s="1"/>
  <c r="DA134" i="3"/>
  <c r="DC134" i="3"/>
  <c r="A135" i="3"/>
  <c r="Y135" i="3"/>
  <c r="CY135" i="3"/>
  <c r="CZ135" i="3"/>
  <c r="DA135" i="3"/>
  <c r="DB135" i="3"/>
  <c r="DC135" i="3"/>
  <c r="A136" i="3"/>
  <c r="Y136" i="3"/>
  <c r="CY136" i="3"/>
  <c r="CZ136" i="3"/>
  <c r="DB136" i="3" s="1"/>
  <c r="DA136" i="3"/>
  <c r="DC136" i="3"/>
  <c r="A137" i="3"/>
  <c r="Y137" i="3"/>
  <c r="CY137" i="3"/>
  <c r="CZ137" i="3"/>
  <c r="DA137" i="3"/>
  <c r="DB137" i="3"/>
  <c r="DC137" i="3"/>
  <c r="A138" i="3"/>
  <c r="Y138" i="3"/>
  <c r="CY138" i="3"/>
  <c r="CZ138" i="3"/>
  <c r="DB138" i="3" s="1"/>
  <c r="DA138" i="3"/>
  <c r="DC138" i="3"/>
  <c r="A139" i="3"/>
  <c r="Y139" i="3"/>
  <c r="CY139" i="3"/>
  <c r="CZ139" i="3"/>
  <c r="DA139" i="3"/>
  <c r="DB139" i="3"/>
  <c r="DC139" i="3"/>
  <c r="A140" i="3"/>
  <c r="Y140" i="3"/>
  <c r="CY140" i="3"/>
  <c r="CZ140" i="3"/>
  <c r="DB140" i="3" s="1"/>
  <c r="DA140" i="3"/>
  <c r="DC140" i="3"/>
  <c r="A141" i="3"/>
  <c r="Y141" i="3"/>
  <c r="CY141" i="3"/>
  <c r="CZ141" i="3"/>
  <c r="DA141" i="3"/>
  <c r="DB141" i="3"/>
  <c r="DC141" i="3"/>
  <c r="A142" i="3"/>
  <c r="Y142" i="3"/>
  <c r="CY142" i="3"/>
  <c r="CZ142" i="3"/>
  <c r="DB142" i="3" s="1"/>
  <c r="DA142" i="3"/>
  <c r="DC142" i="3"/>
  <c r="A143" i="3"/>
  <c r="Y143" i="3"/>
  <c r="CY143" i="3"/>
  <c r="CZ143" i="3"/>
  <c r="DB143" i="3" s="1"/>
  <c r="DA143" i="3"/>
  <c r="DC143" i="3"/>
  <c r="A144" i="3"/>
  <c r="Y144" i="3"/>
  <c r="CY144" i="3"/>
  <c r="CZ144" i="3"/>
  <c r="DA144" i="3"/>
  <c r="DB144" i="3"/>
  <c r="DC144" i="3"/>
  <c r="A145" i="3"/>
  <c r="Y145" i="3"/>
  <c r="CY145" i="3"/>
  <c r="CZ145" i="3"/>
  <c r="DA145" i="3"/>
  <c r="DB145" i="3"/>
  <c r="DC145" i="3"/>
  <c r="A146" i="3"/>
  <c r="Y146" i="3"/>
  <c r="CY146" i="3"/>
  <c r="CZ146" i="3"/>
  <c r="DB146" i="3" s="1"/>
  <c r="DA146" i="3"/>
  <c r="DC146" i="3"/>
  <c r="A147" i="3"/>
  <c r="Y147" i="3"/>
  <c r="CY147" i="3"/>
  <c r="CZ147" i="3"/>
  <c r="DB147" i="3" s="1"/>
  <c r="DA147" i="3"/>
  <c r="DC147" i="3"/>
  <c r="A148" i="3"/>
  <c r="Y148" i="3"/>
  <c r="CY148" i="3"/>
  <c r="CZ148" i="3"/>
  <c r="DA148" i="3"/>
  <c r="DB148" i="3"/>
  <c r="DC148" i="3"/>
  <c r="A149" i="3"/>
  <c r="Y149" i="3"/>
  <c r="CY149" i="3"/>
  <c r="CZ149" i="3"/>
  <c r="DA149" i="3"/>
  <c r="DB149" i="3"/>
  <c r="DC149" i="3"/>
  <c r="A150" i="3"/>
  <c r="Y150" i="3"/>
  <c r="CY150" i="3"/>
  <c r="CZ150" i="3"/>
  <c r="DB150" i="3" s="1"/>
  <c r="DA150" i="3"/>
  <c r="DC150" i="3"/>
  <c r="A151" i="3"/>
  <c r="Y151" i="3"/>
  <c r="CY151" i="3"/>
  <c r="CZ151" i="3"/>
  <c r="DB151" i="3" s="1"/>
  <c r="DA151" i="3"/>
  <c r="DC151" i="3"/>
  <c r="A152" i="3"/>
  <c r="Y152" i="3"/>
  <c r="CY152" i="3"/>
  <c r="CZ152" i="3"/>
  <c r="DA152" i="3"/>
  <c r="DB152" i="3"/>
  <c r="DC152" i="3"/>
  <c r="A153" i="3"/>
  <c r="Y153" i="3"/>
  <c r="CY153" i="3"/>
  <c r="CZ153" i="3"/>
  <c r="DA153" i="3"/>
  <c r="DB153" i="3"/>
  <c r="DC153" i="3"/>
  <c r="A154" i="3"/>
  <c r="Y154" i="3"/>
  <c r="CY154" i="3"/>
  <c r="CZ154" i="3"/>
  <c r="DB154" i="3" s="1"/>
  <c r="DA154" i="3"/>
  <c r="DC154" i="3"/>
  <c r="A155" i="3"/>
  <c r="Y155" i="3"/>
  <c r="CY155" i="3"/>
  <c r="CZ155" i="3"/>
  <c r="DB155" i="3" s="1"/>
  <c r="DA155" i="3"/>
  <c r="DC155" i="3"/>
  <c r="A156" i="3"/>
  <c r="Y156" i="3"/>
  <c r="CY156" i="3"/>
  <c r="CZ156" i="3"/>
  <c r="DA156" i="3"/>
  <c r="DB156" i="3"/>
  <c r="DC156" i="3"/>
  <c r="A157" i="3"/>
  <c r="Y157" i="3"/>
  <c r="CY157" i="3"/>
  <c r="CZ157" i="3"/>
  <c r="DB157" i="3" s="1"/>
  <c r="DA157" i="3"/>
  <c r="DC157" i="3"/>
  <c r="A158" i="3"/>
  <c r="Y158" i="3"/>
  <c r="CY158" i="3"/>
  <c r="CZ158" i="3"/>
  <c r="DA158" i="3"/>
  <c r="DB158" i="3"/>
  <c r="DC158" i="3"/>
  <c r="A159" i="3"/>
  <c r="Y159" i="3"/>
  <c r="CY159" i="3"/>
  <c r="CZ159" i="3"/>
  <c r="DB159" i="3" s="1"/>
  <c r="DA159" i="3"/>
  <c r="DC159" i="3"/>
  <c r="A160" i="3"/>
  <c r="Y160" i="3"/>
  <c r="CY160" i="3"/>
  <c r="CZ160" i="3"/>
  <c r="DA160" i="3"/>
  <c r="DB160" i="3"/>
  <c r="DC160" i="3"/>
  <c r="A161" i="3"/>
  <c r="Y161" i="3"/>
  <c r="CY161" i="3"/>
  <c r="CZ161" i="3"/>
  <c r="DB161" i="3" s="1"/>
  <c r="DA161" i="3"/>
  <c r="DC161" i="3"/>
  <c r="A162" i="3"/>
  <c r="Y162" i="3"/>
  <c r="CY162" i="3"/>
  <c r="CZ162" i="3"/>
  <c r="DB162" i="3" s="1"/>
  <c r="DA162" i="3"/>
  <c r="DC162" i="3"/>
  <c r="A163" i="3"/>
  <c r="Y163" i="3"/>
  <c r="CY163" i="3"/>
  <c r="CZ163" i="3"/>
  <c r="DB163" i="3" s="1"/>
  <c r="DA163" i="3"/>
  <c r="DC163" i="3"/>
  <c r="A164" i="3"/>
  <c r="Y164" i="3"/>
  <c r="CY164" i="3"/>
  <c r="CZ164" i="3"/>
  <c r="DA164" i="3"/>
  <c r="DB164" i="3"/>
  <c r="DC164" i="3"/>
  <c r="A165" i="3"/>
  <c r="Y165" i="3"/>
  <c r="CY165" i="3"/>
  <c r="CZ165" i="3"/>
  <c r="DA165" i="3"/>
  <c r="DB165" i="3"/>
  <c r="DC165" i="3"/>
  <c r="A166" i="3"/>
  <c r="Y166" i="3"/>
  <c r="CY166" i="3"/>
  <c r="CZ166" i="3"/>
  <c r="DB166" i="3" s="1"/>
  <c r="DA166" i="3"/>
  <c r="DC166" i="3"/>
  <c r="A167" i="3"/>
  <c r="Y167" i="3"/>
  <c r="CY167" i="3"/>
  <c r="CZ167" i="3"/>
  <c r="DB167" i="3" s="1"/>
  <c r="DA167" i="3"/>
  <c r="DC167" i="3"/>
  <c r="A168" i="3"/>
  <c r="Y168" i="3"/>
  <c r="CY168" i="3"/>
  <c r="CZ168" i="3"/>
  <c r="DA168" i="3"/>
  <c r="DB168" i="3"/>
  <c r="DC168" i="3"/>
  <c r="A169" i="3"/>
  <c r="Y169" i="3"/>
  <c r="CY169" i="3"/>
  <c r="CZ169" i="3"/>
  <c r="DA169" i="3"/>
  <c r="DB169" i="3"/>
  <c r="DC169" i="3"/>
  <c r="A170" i="3"/>
  <c r="Y170" i="3"/>
  <c r="CY170" i="3"/>
  <c r="CZ170" i="3"/>
  <c r="DB170" i="3" s="1"/>
  <c r="DA170" i="3"/>
  <c r="DC170" i="3"/>
  <c r="A171" i="3"/>
  <c r="Y171" i="3"/>
  <c r="CY171" i="3"/>
  <c r="CZ171" i="3"/>
  <c r="DB171" i="3" s="1"/>
  <c r="DA171" i="3"/>
  <c r="DC171" i="3"/>
  <c r="A172" i="3"/>
  <c r="Y172" i="3"/>
  <c r="CY172" i="3"/>
  <c r="CZ172" i="3"/>
  <c r="DA172" i="3"/>
  <c r="DB172" i="3"/>
  <c r="DC172" i="3"/>
  <c r="A173" i="3"/>
  <c r="Y173" i="3"/>
  <c r="CY173" i="3"/>
  <c r="CZ173" i="3"/>
  <c r="DA173" i="3"/>
  <c r="DB173" i="3"/>
  <c r="DC173" i="3"/>
  <c r="A174" i="3"/>
  <c r="Y174" i="3"/>
  <c r="CY174" i="3"/>
  <c r="CZ174" i="3"/>
  <c r="DB174" i="3" s="1"/>
  <c r="DA174" i="3"/>
  <c r="DC174" i="3"/>
  <c r="A175" i="3"/>
  <c r="Y175" i="3"/>
  <c r="CY175" i="3"/>
  <c r="CZ175" i="3"/>
  <c r="DA175" i="3"/>
  <c r="DB175" i="3"/>
  <c r="DC175" i="3"/>
  <c r="A176" i="3"/>
  <c r="Y176" i="3"/>
  <c r="CY176" i="3"/>
  <c r="CZ176" i="3"/>
  <c r="DB176" i="3" s="1"/>
  <c r="DA176" i="3"/>
  <c r="DC176" i="3"/>
  <c r="A177" i="3"/>
  <c r="Y177" i="3"/>
  <c r="CY177" i="3"/>
  <c r="CZ177" i="3"/>
  <c r="DA177" i="3"/>
  <c r="DB177" i="3"/>
  <c r="DC177" i="3"/>
  <c r="A178" i="3"/>
  <c r="Y178" i="3"/>
  <c r="CY178" i="3"/>
  <c r="CZ178" i="3"/>
  <c r="DA178" i="3"/>
  <c r="DB178" i="3"/>
  <c r="DC178" i="3"/>
  <c r="A179" i="3"/>
  <c r="Y179" i="3"/>
  <c r="CY179" i="3"/>
  <c r="CZ179" i="3"/>
  <c r="DA179" i="3"/>
  <c r="DB179" i="3"/>
  <c r="DC179" i="3"/>
  <c r="A180" i="3"/>
  <c r="Y180" i="3"/>
  <c r="CY180" i="3"/>
  <c r="CZ180" i="3"/>
  <c r="DB180" i="3" s="1"/>
  <c r="DA180" i="3"/>
  <c r="DC180" i="3"/>
  <c r="A181" i="3"/>
  <c r="Y181" i="3"/>
  <c r="CY181" i="3"/>
  <c r="CZ181" i="3"/>
  <c r="DB181" i="3" s="1"/>
  <c r="DA181" i="3"/>
  <c r="DC181" i="3"/>
  <c r="A182" i="3"/>
  <c r="Y182" i="3"/>
  <c r="CY182" i="3"/>
  <c r="CZ182" i="3"/>
  <c r="DB182" i="3" s="1"/>
  <c r="DA182" i="3"/>
  <c r="DC182" i="3"/>
  <c r="A183" i="3"/>
  <c r="Y183" i="3"/>
  <c r="CY183" i="3"/>
  <c r="CZ183" i="3"/>
  <c r="DB183" i="3" s="1"/>
  <c r="DA183" i="3"/>
  <c r="DC183" i="3"/>
  <c r="A184" i="3"/>
  <c r="Y184" i="3"/>
  <c r="CY184" i="3"/>
  <c r="CZ184" i="3"/>
  <c r="DB184" i="3" s="1"/>
  <c r="DA184" i="3"/>
  <c r="DC184" i="3"/>
  <c r="A185" i="3"/>
  <c r="Y185" i="3"/>
  <c r="CY185" i="3"/>
  <c r="CZ185" i="3"/>
  <c r="DB185" i="3" s="1"/>
  <c r="DA185" i="3"/>
  <c r="DC185" i="3"/>
  <c r="A186" i="3"/>
  <c r="Y186" i="3"/>
  <c r="CY186" i="3"/>
  <c r="CZ186" i="3"/>
  <c r="DB186" i="3" s="1"/>
  <c r="DA186" i="3"/>
  <c r="DC186" i="3"/>
  <c r="A187" i="3"/>
  <c r="Y187" i="3"/>
  <c r="CY187" i="3"/>
  <c r="CZ187" i="3"/>
  <c r="DA187" i="3"/>
  <c r="DB187" i="3"/>
  <c r="DC187" i="3"/>
  <c r="A188" i="3"/>
  <c r="Y188" i="3"/>
  <c r="CY188" i="3"/>
  <c r="CZ188" i="3"/>
  <c r="DB188" i="3" s="1"/>
  <c r="DA188" i="3"/>
  <c r="DC188" i="3"/>
  <c r="A189" i="3"/>
  <c r="Y189" i="3"/>
  <c r="CY189" i="3"/>
  <c r="CZ189" i="3"/>
  <c r="DB189" i="3" s="1"/>
  <c r="DA189" i="3"/>
  <c r="DC189" i="3"/>
  <c r="A190" i="3"/>
  <c r="Y190" i="3"/>
  <c r="CY190" i="3"/>
  <c r="CZ190" i="3"/>
  <c r="DB190" i="3" s="1"/>
  <c r="DA190" i="3"/>
  <c r="DC190" i="3"/>
  <c r="A191" i="3"/>
  <c r="Y191" i="3"/>
  <c r="CY191" i="3"/>
  <c r="CZ191" i="3"/>
  <c r="DB191" i="3" s="1"/>
  <c r="DA191" i="3"/>
  <c r="DC191" i="3"/>
  <c r="A192" i="3"/>
  <c r="Y192" i="3"/>
  <c r="CY192" i="3"/>
  <c r="CZ192" i="3"/>
  <c r="DB192" i="3" s="1"/>
  <c r="DA192" i="3"/>
  <c r="DC192" i="3"/>
  <c r="A193" i="3"/>
  <c r="Y193" i="3"/>
  <c r="CY193" i="3"/>
  <c r="CZ193" i="3"/>
  <c r="DA193" i="3"/>
  <c r="DB193" i="3"/>
  <c r="DC193" i="3"/>
  <c r="A194" i="3"/>
  <c r="Y194" i="3"/>
  <c r="CY194" i="3"/>
  <c r="CZ194" i="3"/>
  <c r="DA194" i="3"/>
  <c r="DB194" i="3"/>
  <c r="DC194" i="3"/>
  <c r="A195" i="3"/>
  <c r="Y195" i="3"/>
  <c r="CY195" i="3"/>
  <c r="CZ195" i="3"/>
  <c r="DB195" i="3" s="1"/>
  <c r="DA195" i="3"/>
  <c r="DC195" i="3"/>
  <c r="A196" i="3"/>
  <c r="Y196" i="3"/>
  <c r="CY196" i="3"/>
  <c r="CZ196" i="3"/>
  <c r="DA196" i="3"/>
  <c r="DB196" i="3"/>
  <c r="DC196" i="3"/>
  <c r="A197" i="3"/>
  <c r="Y197" i="3"/>
  <c r="CY197" i="3"/>
  <c r="CZ197" i="3"/>
  <c r="DB197" i="3" s="1"/>
  <c r="DA197" i="3"/>
  <c r="DC197" i="3"/>
  <c r="A198" i="3"/>
  <c r="Y198" i="3"/>
  <c r="CY198" i="3"/>
  <c r="CZ198" i="3"/>
  <c r="DA198" i="3"/>
  <c r="DB198" i="3"/>
  <c r="DC198" i="3"/>
  <c r="A199" i="3"/>
  <c r="Y199" i="3"/>
  <c r="CY199" i="3"/>
  <c r="CZ199" i="3"/>
  <c r="DA199" i="3"/>
  <c r="DB199" i="3"/>
  <c r="DC199" i="3"/>
  <c r="A200" i="3"/>
  <c r="Y200" i="3"/>
  <c r="CY200" i="3"/>
  <c r="CZ200" i="3"/>
  <c r="DA200" i="3"/>
  <c r="DB200" i="3"/>
  <c r="DC200" i="3"/>
  <c r="A201" i="3"/>
  <c r="Y201" i="3"/>
  <c r="CY201" i="3"/>
  <c r="CZ201" i="3"/>
  <c r="DB201" i="3" s="1"/>
  <c r="DA201" i="3"/>
  <c r="DC201" i="3"/>
  <c r="A202" i="3"/>
  <c r="Y202" i="3"/>
  <c r="CY202" i="3"/>
  <c r="CZ202" i="3"/>
  <c r="DB202" i="3" s="1"/>
  <c r="DA202" i="3"/>
  <c r="DC202" i="3"/>
  <c r="A203" i="3"/>
  <c r="Y203" i="3"/>
  <c r="CY203" i="3"/>
  <c r="CZ203" i="3"/>
  <c r="DB203" i="3" s="1"/>
  <c r="DA203" i="3"/>
  <c r="DC203" i="3"/>
  <c r="A204" i="3"/>
  <c r="Y204" i="3"/>
  <c r="CY204" i="3"/>
  <c r="CZ204" i="3"/>
  <c r="DA204" i="3"/>
  <c r="DB204" i="3"/>
  <c r="DC204" i="3"/>
  <c r="A205" i="3"/>
  <c r="Y205" i="3"/>
  <c r="CY205" i="3"/>
  <c r="CZ205" i="3"/>
  <c r="DB205" i="3" s="1"/>
  <c r="DA205" i="3"/>
  <c r="DC205" i="3"/>
  <c r="A206" i="3"/>
  <c r="Y206" i="3"/>
  <c r="CY206" i="3"/>
  <c r="CZ206" i="3"/>
  <c r="DB206" i="3" s="1"/>
  <c r="DA206" i="3"/>
  <c r="DC206" i="3"/>
  <c r="A207" i="3"/>
  <c r="Y207" i="3"/>
  <c r="CY207" i="3"/>
  <c r="CZ207" i="3"/>
  <c r="DA207" i="3"/>
  <c r="DB207" i="3"/>
  <c r="DC207" i="3"/>
  <c r="A208" i="3"/>
  <c r="Y208" i="3"/>
  <c r="CY208" i="3"/>
  <c r="CZ208" i="3"/>
  <c r="DB208" i="3" s="1"/>
  <c r="DA208" i="3"/>
  <c r="DC208" i="3"/>
  <c r="A209" i="3"/>
  <c r="Y209" i="3"/>
  <c r="CY209" i="3"/>
  <c r="CZ209" i="3"/>
  <c r="DA209" i="3"/>
  <c r="DB209" i="3"/>
  <c r="DC209" i="3"/>
  <c r="A210" i="3"/>
  <c r="Y210" i="3"/>
  <c r="CY210" i="3"/>
  <c r="CZ210" i="3"/>
  <c r="DB210" i="3" s="1"/>
  <c r="DA210" i="3"/>
  <c r="DC210" i="3"/>
  <c r="A211" i="3"/>
  <c r="Y211" i="3"/>
  <c r="CY211" i="3"/>
  <c r="CZ211" i="3"/>
  <c r="DA211" i="3"/>
  <c r="DB211" i="3"/>
  <c r="DC211" i="3"/>
  <c r="A212" i="3"/>
  <c r="Y212" i="3"/>
  <c r="CY212" i="3"/>
  <c r="CZ212" i="3"/>
  <c r="DB212" i="3" s="1"/>
  <c r="DA212" i="3"/>
  <c r="DC212" i="3"/>
  <c r="A213" i="3"/>
  <c r="Y213" i="3"/>
  <c r="CY213" i="3"/>
  <c r="CZ213" i="3"/>
  <c r="DB213" i="3" s="1"/>
  <c r="DA213" i="3"/>
  <c r="DC213" i="3"/>
  <c r="A214" i="3"/>
  <c r="Y214" i="3"/>
  <c r="CY214" i="3"/>
  <c r="CZ214" i="3"/>
  <c r="DA214" i="3"/>
  <c r="DB214" i="3"/>
  <c r="DC214" i="3"/>
  <c r="A215" i="3"/>
  <c r="Y215" i="3"/>
  <c r="CY215" i="3"/>
  <c r="CZ215" i="3"/>
  <c r="DA215" i="3"/>
  <c r="DB215" i="3"/>
  <c r="DC215" i="3"/>
  <c r="A216" i="3"/>
  <c r="Y216" i="3"/>
  <c r="CY216" i="3"/>
  <c r="CZ216" i="3"/>
  <c r="DB216" i="3" s="1"/>
  <c r="DA216" i="3"/>
  <c r="DC216" i="3"/>
  <c r="A217" i="3"/>
  <c r="Y217" i="3"/>
  <c r="CY217" i="3"/>
  <c r="CZ217" i="3"/>
  <c r="DA217" i="3"/>
  <c r="DB217" i="3"/>
  <c r="DC217" i="3"/>
  <c r="A218" i="3"/>
  <c r="Y218" i="3"/>
  <c r="CY218" i="3"/>
  <c r="CZ218" i="3"/>
  <c r="DB218" i="3" s="1"/>
  <c r="DA218" i="3"/>
  <c r="DC218" i="3"/>
  <c r="A219" i="3"/>
  <c r="Y219" i="3"/>
  <c r="CY219" i="3"/>
  <c r="CZ219" i="3"/>
  <c r="DA219" i="3"/>
  <c r="DB219" i="3"/>
  <c r="DC219" i="3"/>
  <c r="A220" i="3"/>
  <c r="Y220" i="3"/>
  <c r="CY220" i="3"/>
  <c r="CZ220" i="3"/>
  <c r="DB220" i="3" s="1"/>
  <c r="DA220" i="3"/>
  <c r="DC220" i="3"/>
  <c r="A221" i="3"/>
  <c r="Y221" i="3"/>
  <c r="CY221" i="3"/>
  <c r="CZ221" i="3"/>
  <c r="DA221" i="3"/>
  <c r="DB221" i="3"/>
  <c r="DC221" i="3"/>
  <c r="A222" i="3"/>
  <c r="Y222" i="3"/>
  <c r="CY222" i="3"/>
  <c r="CZ222" i="3"/>
  <c r="DB222" i="3" s="1"/>
  <c r="DA222" i="3"/>
  <c r="DC222" i="3"/>
  <c r="A223" i="3"/>
  <c r="Y223" i="3"/>
  <c r="CY223" i="3"/>
  <c r="CZ223" i="3"/>
  <c r="DB223" i="3" s="1"/>
  <c r="DA223" i="3"/>
  <c r="DC223" i="3"/>
  <c r="A224" i="3"/>
  <c r="Y224" i="3"/>
  <c r="CY224" i="3"/>
  <c r="CZ224" i="3"/>
  <c r="DA224" i="3"/>
  <c r="DB224" i="3"/>
  <c r="DC224" i="3"/>
  <c r="A225" i="3"/>
  <c r="Y225" i="3"/>
  <c r="CY225" i="3"/>
  <c r="CZ225" i="3"/>
  <c r="DA225" i="3"/>
  <c r="DB225" i="3"/>
  <c r="DC225" i="3"/>
  <c r="A226" i="3"/>
  <c r="Y226" i="3"/>
  <c r="CY226" i="3"/>
  <c r="CZ226" i="3"/>
  <c r="DA226" i="3"/>
  <c r="DB226" i="3"/>
  <c r="DC226" i="3"/>
  <c r="A227" i="3"/>
  <c r="Y227" i="3"/>
  <c r="CY227" i="3"/>
  <c r="CZ227" i="3"/>
  <c r="DB227" i="3" s="1"/>
  <c r="DA227" i="3"/>
  <c r="DC227" i="3"/>
  <c r="A228" i="3"/>
  <c r="Y228" i="3"/>
  <c r="CY228" i="3"/>
  <c r="CZ228" i="3"/>
  <c r="DA228" i="3"/>
  <c r="DB228" i="3"/>
  <c r="DC228" i="3"/>
  <c r="A229" i="3"/>
  <c r="Y229" i="3"/>
  <c r="CY229" i="3"/>
  <c r="CZ229" i="3"/>
  <c r="DA229" i="3"/>
  <c r="DB229" i="3"/>
  <c r="DC229" i="3"/>
  <c r="A230" i="3"/>
  <c r="Y230" i="3"/>
  <c r="CY230" i="3"/>
  <c r="CZ230" i="3"/>
  <c r="DA230" i="3"/>
  <c r="DB230" i="3"/>
  <c r="DC230" i="3"/>
  <c r="A231" i="3"/>
  <c r="Y231" i="3"/>
  <c r="CY231" i="3"/>
  <c r="CZ231" i="3"/>
  <c r="DA231" i="3"/>
  <c r="DB231" i="3"/>
  <c r="DC231" i="3"/>
  <c r="A232" i="3"/>
  <c r="Y232" i="3"/>
  <c r="CY232" i="3"/>
  <c r="CZ232" i="3"/>
  <c r="DB232" i="3" s="1"/>
  <c r="DA232" i="3"/>
  <c r="DC232" i="3"/>
  <c r="A233" i="3"/>
  <c r="Y233" i="3"/>
  <c r="CY233" i="3"/>
  <c r="CZ233" i="3"/>
  <c r="DA233" i="3"/>
  <c r="DB233" i="3"/>
  <c r="DC233" i="3"/>
  <c r="A234" i="3"/>
  <c r="Y234" i="3"/>
  <c r="CY234" i="3"/>
  <c r="CZ234" i="3"/>
  <c r="DB234" i="3" s="1"/>
  <c r="DA234" i="3"/>
  <c r="DC234" i="3"/>
  <c r="A235" i="3"/>
  <c r="Y235" i="3"/>
  <c r="CY235" i="3"/>
  <c r="CZ235" i="3"/>
  <c r="DA235" i="3"/>
  <c r="DB235" i="3"/>
  <c r="DC235" i="3"/>
  <c r="A236" i="3"/>
  <c r="Y236" i="3"/>
  <c r="CY236" i="3"/>
  <c r="CZ236" i="3"/>
  <c r="DB236" i="3" s="1"/>
  <c r="DA236" i="3"/>
  <c r="DC236" i="3"/>
  <c r="A237" i="3"/>
  <c r="Y237" i="3"/>
  <c r="CY237" i="3"/>
  <c r="CZ237" i="3"/>
  <c r="DA237" i="3"/>
  <c r="DB237" i="3"/>
  <c r="DC237" i="3"/>
  <c r="A238" i="3"/>
  <c r="Y238" i="3"/>
  <c r="CY238" i="3"/>
  <c r="CZ238" i="3"/>
  <c r="DB238" i="3" s="1"/>
  <c r="DA238" i="3"/>
  <c r="DC238" i="3"/>
  <c r="A239" i="3"/>
  <c r="Y239" i="3"/>
  <c r="CY239" i="3"/>
  <c r="CZ239" i="3"/>
  <c r="DA239" i="3"/>
  <c r="DB239" i="3"/>
  <c r="DC239" i="3"/>
  <c r="A240" i="3"/>
  <c r="Y240" i="3"/>
  <c r="CY240" i="3"/>
  <c r="CZ240" i="3"/>
  <c r="DA240" i="3"/>
  <c r="DB240" i="3"/>
  <c r="DC240" i="3"/>
  <c r="A241" i="3"/>
  <c r="Y241" i="3"/>
  <c r="CY241" i="3"/>
  <c r="CZ241" i="3"/>
  <c r="DB241" i="3" s="1"/>
  <c r="DA241" i="3"/>
  <c r="DC241" i="3"/>
  <c r="A242" i="3"/>
  <c r="Y242" i="3"/>
  <c r="CY242" i="3"/>
  <c r="CZ242" i="3"/>
  <c r="DB242" i="3" s="1"/>
  <c r="DA242" i="3"/>
  <c r="DC242" i="3"/>
  <c r="A243" i="3"/>
  <c r="Y243" i="3"/>
  <c r="CY243" i="3"/>
  <c r="CZ243" i="3"/>
  <c r="DB243" i="3" s="1"/>
  <c r="DA243" i="3"/>
  <c r="DC243" i="3"/>
  <c r="A244" i="3"/>
  <c r="Y244" i="3"/>
  <c r="CY244" i="3"/>
  <c r="CZ244" i="3"/>
  <c r="DA244" i="3"/>
  <c r="DB244" i="3"/>
  <c r="DC244" i="3"/>
  <c r="A245" i="3"/>
  <c r="Y245" i="3"/>
  <c r="CY245" i="3"/>
  <c r="CZ245" i="3"/>
  <c r="DB245" i="3" s="1"/>
  <c r="DA245" i="3"/>
  <c r="DC245" i="3"/>
  <c r="A246" i="3"/>
  <c r="Y246" i="3"/>
  <c r="CY246" i="3"/>
  <c r="CZ246" i="3"/>
  <c r="DA246" i="3"/>
  <c r="DB246" i="3"/>
  <c r="DC246" i="3"/>
  <c r="A247" i="3"/>
  <c r="Y247" i="3"/>
  <c r="CY247" i="3"/>
  <c r="CZ247" i="3"/>
  <c r="DB247" i="3" s="1"/>
  <c r="DA247" i="3"/>
  <c r="DC247" i="3"/>
  <c r="A248" i="3"/>
  <c r="Y248" i="3"/>
  <c r="CY248" i="3"/>
  <c r="CZ248" i="3"/>
  <c r="DA248" i="3"/>
  <c r="DB248" i="3"/>
  <c r="DC248" i="3"/>
  <c r="A249" i="3"/>
  <c r="Y249" i="3"/>
  <c r="CY249" i="3"/>
  <c r="CZ249" i="3"/>
  <c r="DA249" i="3"/>
  <c r="DB249" i="3"/>
  <c r="DC249" i="3"/>
  <c r="A250" i="3"/>
  <c r="Y250" i="3"/>
  <c r="CY250" i="3"/>
  <c r="CZ250" i="3"/>
  <c r="DB250" i="3" s="1"/>
  <c r="DA250" i="3"/>
  <c r="DC250" i="3"/>
  <c r="A251" i="3"/>
  <c r="Y251" i="3"/>
  <c r="CY251" i="3"/>
  <c r="CZ251" i="3"/>
  <c r="DB251" i="3" s="1"/>
  <c r="DA251" i="3"/>
  <c r="DC251" i="3"/>
  <c r="A252" i="3"/>
  <c r="Y252" i="3"/>
  <c r="CY252" i="3"/>
  <c r="CZ252" i="3"/>
  <c r="DA252" i="3"/>
  <c r="DB252" i="3"/>
  <c r="DC252" i="3"/>
  <c r="A253" i="3"/>
  <c r="Y253" i="3"/>
  <c r="CY253" i="3"/>
  <c r="CZ253" i="3"/>
  <c r="DB253" i="3" s="1"/>
  <c r="DA253" i="3"/>
  <c r="DC253" i="3"/>
  <c r="A254" i="3"/>
  <c r="Y254" i="3"/>
  <c r="CY254" i="3"/>
  <c r="CZ254" i="3"/>
  <c r="DA254" i="3"/>
  <c r="DB254" i="3"/>
  <c r="DC254" i="3"/>
  <c r="A255" i="3"/>
  <c r="Y255" i="3"/>
  <c r="CY255" i="3"/>
  <c r="CZ255" i="3"/>
  <c r="DB255" i="3" s="1"/>
  <c r="DA255" i="3"/>
  <c r="DC255" i="3"/>
  <c r="A256" i="3"/>
  <c r="Y256" i="3"/>
  <c r="CY256" i="3"/>
  <c r="CZ256" i="3"/>
  <c r="DA256" i="3"/>
  <c r="DB256" i="3"/>
  <c r="DC256" i="3"/>
  <c r="A257" i="3"/>
  <c r="Y257" i="3"/>
  <c r="CY257" i="3"/>
  <c r="CZ257" i="3"/>
  <c r="DA257" i="3"/>
  <c r="DB257" i="3"/>
  <c r="DC257" i="3"/>
  <c r="A258" i="3"/>
  <c r="Y258" i="3"/>
  <c r="CY258" i="3"/>
  <c r="CZ258" i="3"/>
  <c r="DA258" i="3"/>
  <c r="DB258" i="3"/>
  <c r="DC258" i="3"/>
  <c r="A259" i="3"/>
  <c r="Y259" i="3"/>
  <c r="CY259" i="3"/>
  <c r="CZ259" i="3"/>
  <c r="DB259" i="3" s="1"/>
  <c r="DA259" i="3"/>
  <c r="DC259" i="3"/>
  <c r="A260" i="3"/>
  <c r="Y260" i="3"/>
  <c r="CY260" i="3"/>
  <c r="CZ260" i="3"/>
  <c r="DA260" i="3"/>
  <c r="DB260" i="3"/>
  <c r="DC260" i="3"/>
  <c r="A261" i="3"/>
  <c r="Y261" i="3"/>
  <c r="CY261" i="3"/>
  <c r="CZ261" i="3"/>
  <c r="DB261" i="3" s="1"/>
  <c r="DA261" i="3"/>
  <c r="DC261" i="3"/>
  <c r="A262" i="3"/>
  <c r="Y262" i="3"/>
  <c r="CY262" i="3"/>
  <c r="CZ262" i="3"/>
  <c r="DB262" i="3" s="1"/>
  <c r="DA262" i="3"/>
  <c r="DC262" i="3"/>
  <c r="A263" i="3"/>
  <c r="Y263" i="3"/>
  <c r="CY263" i="3"/>
  <c r="CZ263" i="3"/>
  <c r="DA263" i="3"/>
  <c r="DB263" i="3"/>
  <c r="DC263" i="3"/>
  <c r="A264" i="3"/>
  <c r="Y264" i="3"/>
  <c r="CY264" i="3"/>
  <c r="CZ264" i="3"/>
  <c r="DA264" i="3"/>
  <c r="DB264" i="3"/>
  <c r="DC264" i="3"/>
  <c r="A265" i="3"/>
  <c r="Y265" i="3"/>
  <c r="CY265" i="3"/>
  <c r="CZ265" i="3"/>
  <c r="DA265" i="3"/>
  <c r="DB265" i="3"/>
  <c r="DC265" i="3"/>
  <c r="A266" i="3"/>
  <c r="Y266" i="3"/>
  <c r="CY266" i="3"/>
  <c r="CZ266" i="3"/>
  <c r="DB266" i="3" s="1"/>
  <c r="DA266" i="3"/>
  <c r="DC266" i="3"/>
  <c r="A267" i="3"/>
  <c r="Y267" i="3"/>
  <c r="CY267" i="3"/>
  <c r="CZ267" i="3"/>
  <c r="DA267" i="3"/>
  <c r="DB267" i="3"/>
  <c r="DC267" i="3"/>
  <c r="A268" i="3"/>
  <c r="Y268" i="3"/>
  <c r="CY268" i="3"/>
  <c r="CZ268" i="3"/>
  <c r="DB268" i="3" s="1"/>
  <c r="DA268" i="3"/>
  <c r="DC268" i="3"/>
  <c r="A269" i="3"/>
  <c r="Y269" i="3"/>
  <c r="CY269" i="3"/>
  <c r="CZ269" i="3"/>
  <c r="DA269" i="3"/>
  <c r="DB269" i="3"/>
  <c r="DC269" i="3"/>
  <c r="A270" i="3"/>
  <c r="Y270" i="3"/>
  <c r="CY270" i="3"/>
  <c r="CZ270" i="3"/>
  <c r="DA270" i="3"/>
  <c r="DB270" i="3"/>
  <c r="DC270" i="3"/>
  <c r="A271" i="3"/>
  <c r="Y271" i="3"/>
  <c r="CY271" i="3"/>
  <c r="CZ271" i="3"/>
  <c r="DB271" i="3" s="1"/>
  <c r="DA271" i="3"/>
  <c r="DC271" i="3"/>
  <c r="A272" i="3"/>
  <c r="Y272" i="3"/>
  <c r="CY272" i="3"/>
  <c r="CZ272" i="3"/>
  <c r="DA272" i="3"/>
  <c r="DB272" i="3"/>
  <c r="DC272" i="3"/>
  <c r="A273" i="3"/>
  <c r="Y273" i="3"/>
  <c r="CY273" i="3"/>
  <c r="CZ273" i="3"/>
  <c r="DB273" i="3" s="1"/>
  <c r="DA273" i="3"/>
  <c r="DC273" i="3"/>
  <c r="A274" i="3"/>
  <c r="Y274" i="3"/>
  <c r="CY274" i="3"/>
  <c r="CZ274" i="3"/>
  <c r="DA274" i="3"/>
  <c r="DB274" i="3"/>
  <c r="DC274" i="3"/>
  <c r="A275" i="3"/>
  <c r="Y275" i="3"/>
  <c r="CY275" i="3"/>
  <c r="CZ275" i="3"/>
  <c r="DB275" i="3" s="1"/>
  <c r="DA275" i="3"/>
  <c r="DC275" i="3"/>
  <c r="A276" i="3"/>
  <c r="Y276" i="3"/>
  <c r="CY276" i="3"/>
  <c r="CZ276" i="3"/>
  <c r="DA276" i="3"/>
  <c r="DB276" i="3"/>
  <c r="DC276" i="3"/>
  <c r="A277" i="3"/>
  <c r="Y277" i="3"/>
  <c r="CY277" i="3"/>
  <c r="CZ277" i="3"/>
  <c r="DB277" i="3" s="1"/>
  <c r="DA277" i="3"/>
  <c r="DC277" i="3"/>
  <c r="A278" i="3"/>
  <c r="Y278" i="3"/>
  <c r="CY278" i="3"/>
  <c r="CZ278" i="3"/>
  <c r="DB278" i="3" s="1"/>
  <c r="DA278" i="3"/>
  <c r="DC278" i="3"/>
  <c r="A279" i="3"/>
  <c r="Y279" i="3"/>
  <c r="CY279" i="3"/>
  <c r="CZ279" i="3"/>
  <c r="DA279" i="3"/>
  <c r="DB279" i="3"/>
  <c r="DC279" i="3"/>
  <c r="A280" i="3"/>
  <c r="Y280" i="3"/>
  <c r="CY280" i="3"/>
  <c r="CZ280" i="3"/>
  <c r="DA280" i="3"/>
  <c r="DB280" i="3"/>
  <c r="DC280" i="3"/>
  <c r="A281" i="3"/>
  <c r="Y281" i="3"/>
  <c r="CY281" i="3"/>
  <c r="CZ281" i="3"/>
  <c r="DB281" i="3" s="1"/>
  <c r="DA281" i="3"/>
  <c r="DC281" i="3"/>
  <c r="A282" i="3"/>
  <c r="Y282" i="3"/>
  <c r="CY282" i="3"/>
  <c r="CZ282" i="3"/>
  <c r="DB282" i="3" s="1"/>
  <c r="DA282" i="3"/>
  <c r="DC282" i="3"/>
  <c r="A283" i="3"/>
  <c r="Y283" i="3"/>
  <c r="CY283" i="3"/>
  <c r="CZ283" i="3"/>
  <c r="DB283" i="3" s="1"/>
  <c r="DA283" i="3"/>
  <c r="DC283" i="3"/>
  <c r="A284" i="3"/>
  <c r="Y284" i="3"/>
  <c r="CY284" i="3"/>
  <c r="CZ284" i="3"/>
  <c r="DA284" i="3"/>
  <c r="DB284" i="3"/>
  <c r="DC284" i="3"/>
  <c r="A285" i="3"/>
  <c r="Y285" i="3"/>
  <c r="CY285" i="3"/>
  <c r="CZ285" i="3"/>
  <c r="DB285" i="3" s="1"/>
  <c r="DA285" i="3"/>
  <c r="DC285" i="3"/>
  <c r="A286" i="3"/>
  <c r="Y286" i="3"/>
  <c r="CY286" i="3"/>
  <c r="CZ286" i="3"/>
  <c r="DA286" i="3"/>
  <c r="DB286" i="3"/>
  <c r="DC286" i="3"/>
  <c r="A287" i="3"/>
  <c r="Y287" i="3"/>
  <c r="CY287" i="3"/>
  <c r="CZ287" i="3"/>
  <c r="DB287" i="3" s="1"/>
  <c r="DA287" i="3"/>
  <c r="DC287" i="3"/>
  <c r="A288" i="3"/>
  <c r="Y288" i="3"/>
  <c r="CY288" i="3"/>
  <c r="CZ288" i="3"/>
  <c r="DB288" i="3" s="1"/>
  <c r="DA288" i="3"/>
  <c r="DC288" i="3"/>
  <c r="A289" i="3"/>
  <c r="Y289" i="3"/>
  <c r="CY289" i="3"/>
  <c r="CZ289" i="3"/>
  <c r="DA289" i="3"/>
  <c r="DB289" i="3"/>
  <c r="DC289" i="3"/>
  <c r="A290" i="3"/>
  <c r="Y290" i="3"/>
  <c r="CY290" i="3"/>
  <c r="CZ290" i="3"/>
  <c r="DA290" i="3"/>
  <c r="DB290" i="3"/>
  <c r="DC290" i="3"/>
  <c r="A291" i="3"/>
  <c r="Y291" i="3"/>
  <c r="CY291" i="3"/>
  <c r="CZ291" i="3"/>
  <c r="DB291" i="3" s="1"/>
  <c r="DA291" i="3"/>
  <c r="DC291" i="3"/>
  <c r="A292" i="3"/>
  <c r="Y292" i="3"/>
  <c r="CY292" i="3"/>
  <c r="CZ292" i="3"/>
  <c r="DB292" i="3" s="1"/>
  <c r="DA292" i="3"/>
  <c r="DC292" i="3"/>
  <c r="A293" i="3"/>
  <c r="Y293" i="3"/>
  <c r="CY293" i="3"/>
  <c r="CZ293" i="3"/>
  <c r="DA293" i="3"/>
  <c r="DB293" i="3"/>
  <c r="DC293" i="3"/>
  <c r="A294" i="3"/>
  <c r="Y294" i="3"/>
  <c r="CY294" i="3"/>
  <c r="CZ294" i="3"/>
  <c r="DA294" i="3"/>
  <c r="DB294" i="3"/>
  <c r="DC294" i="3"/>
  <c r="A295" i="3"/>
  <c r="Y295" i="3"/>
  <c r="CV295" i="3" s="1"/>
  <c r="CU295" i="3"/>
  <c r="CY295" i="3"/>
  <c r="CZ295" i="3"/>
  <c r="DB295" i="3" s="1"/>
  <c r="DA295" i="3"/>
  <c r="DC295" i="3"/>
  <c r="A296" i="3"/>
  <c r="Y296" i="3"/>
  <c r="CW296" i="3" s="1"/>
  <c r="CX296" i="3"/>
  <c r="DF296" i="3" s="1"/>
  <c r="CY296" i="3"/>
  <c r="CZ296" i="3"/>
  <c r="DA296" i="3"/>
  <c r="DB296" i="3"/>
  <c r="DC296" i="3"/>
  <c r="DH296" i="3"/>
  <c r="DI296" i="3"/>
  <c r="A297" i="3"/>
  <c r="Y297" i="3"/>
  <c r="CX297" i="3" s="1"/>
  <c r="CW297" i="3"/>
  <c r="CY297" i="3"/>
  <c r="CZ297" i="3"/>
  <c r="DB297" i="3" s="1"/>
  <c r="DA297" i="3"/>
  <c r="DC297" i="3"/>
  <c r="A298" i="3"/>
  <c r="Y298" i="3"/>
  <c r="CW298" i="3" s="1"/>
  <c r="CX298" i="3"/>
  <c r="DF298" i="3" s="1"/>
  <c r="CY298" i="3"/>
  <c r="CZ298" i="3"/>
  <c r="DA298" i="3"/>
  <c r="DB298" i="3"/>
  <c r="DC298" i="3"/>
  <c r="DH298" i="3"/>
  <c r="DI298" i="3"/>
  <c r="A299" i="3"/>
  <c r="Y299" i="3"/>
  <c r="CX299" i="3" s="1"/>
  <c r="CW299" i="3"/>
  <c r="CY299" i="3"/>
  <c r="CZ299" i="3"/>
  <c r="DB299" i="3" s="1"/>
  <c r="DA299" i="3"/>
  <c r="DC299" i="3"/>
  <c r="A300" i="3"/>
  <c r="Y300" i="3"/>
  <c r="CX300" i="3" s="1"/>
  <c r="CY300" i="3"/>
  <c r="CZ300" i="3"/>
  <c r="DB300" i="3" s="1"/>
  <c r="DA300" i="3"/>
  <c r="DC300" i="3"/>
  <c r="A301" i="3"/>
  <c r="Y301" i="3"/>
  <c r="CX301" i="3"/>
  <c r="DF301" i="3" s="1"/>
  <c r="DJ301" i="3" s="1"/>
  <c r="CY301" i="3"/>
  <c r="CZ301" i="3"/>
  <c r="DA301" i="3"/>
  <c r="DB301" i="3"/>
  <c r="DC301" i="3"/>
  <c r="DH301" i="3"/>
  <c r="DI301" i="3"/>
  <c r="A302" i="3"/>
  <c r="Y302" i="3"/>
  <c r="CY302" i="3"/>
  <c r="CZ302" i="3"/>
  <c r="DB302" i="3" s="1"/>
  <c r="DA302" i="3"/>
  <c r="DC302" i="3"/>
  <c r="A303" i="3"/>
  <c r="Y303" i="3"/>
  <c r="CY303" i="3"/>
  <c r="CZ303" i="3"/>
  <c r="DA303" i="3"/>
  <c r="DB303" i="3"/>
  <c r="DC303" i="3"/>
  <c r="A304" i="3"/>
  <c r="Y304" i="3"/>
  <c r="CY304" i="3"/>
  <c r="CZ304" i="3"/>
  <c r="DA304" i="3"/>
  <c r="DB304" i="3"/>
  <c r="DC304" i="3"/>
  <c r="A305" i="3"/>
  <c r="Y305" i="3"/>
  <c r="CY305" i="3"/>
  <c r="CZ305" i="3"/>
  <c r="DA305" i="3"/>
  <c r="DB305" i="3"/>
  <c r="DC305" i="3"/>
  <c r="A306" i="3"/>
  <c r="Y306" i="3"/>
  <c r="CY306" i="3"/>
  <c r="CZ306" i="3"/>
  <c r="DB306" i="3" s="1"/>
  <c r="DA306" i="3"/>
  <c r="DC306" i="3"/>
  <c r="A307" i="3"/>
  <c r="Y307" i="3"/>
  <c r="CY307" i="3"/>
  <c r="CZ307" i="3"/>
  <c r="DB307" i="3" s="1"/>
  <c r="DA307" i="3"/>
  <c r="DC307" i="3"/>
  <c r="A308" i="3"/>
  <c r="Y308" i="3"/>
  <c r="CY308" i="3"/>
  <c r="CZ308" i="3"/>
  <c r="DA308" i="3"/>
  <c r="DB308" i="3"/>
  <c r="DC308" i="3"/>
  <c r="A309" i="3"/>
  <c r="Y309" i="3"/>
  <c r="CY309" i="3"/>
  <c r="CZ309" i="3"/>
  <c r="DA309" i="3"/>
  <c r="DB309" i="3"/>
  <c r="DC309" i="3"/>
  <c r="A310" i="3"/>
  <c r="Y310" i="3"/>
  <c r="CY310" i="3"/>
  <c r="CZ310" i="3"/>
  <c r="DB310" i="3" s="1"/>
  <c r="DA310" i="3"/>
  <c r="DC310" i="3"/>
  <c r="A311" i="3"/>
  <c r="Y311" i="3"/>
  <c r="CY311" i="3"/>
  <c r="CZ311" i="3"/>
  <c r="DB311" i="3" s="1"/>
  <c r="DA311" i="3"/>
  <c r="DC311" i="3"/>
  <c r="A312" i="3"/>
  <c r="Y312" i="3"/>
  <c r="CY312" i="3"/>
  <c r="CZ312" i="3"/>
  <c r="DB312" i="3" s="1"/>
  <c r="DA312" i="3"/>
  <c r="DC312" i="3"/>
  <c r="A313" i="3"/>
  <c r="Y313" i="3"/>
  <c r="CY313" i="3"/>
  <c r="CZ313" i="3"/>
  <c r="DA313" i="3"/>
  <c r="DB313" i="3"/>
  <c r="DC313" i="3"/>
  <c r="A314" i="3"/>
  <c r="Y314" i="3"/>
  <c r="CY314" i="3"/>
  <c r="CZ314" i="3"/>
  <c r="DB314" i="3" s="1"/>
  <c r="DA314" i="3"/>
  <c r="DC314" i="3"/>
  <c r="A315" i="3"/>
  <c r="Y315" i="3"/>
  <c r="CY315" i="3"/>
  <c r="CZ315" i="3"/>
  <c r="DA315" i="3"/>
  <c r="DB315" i="3"/>
  <c r="DC315" i="3"/>
  <c r="A316" i="3"/>
  <c r="Y316" i="3"/>
  <c r="CY316" i="3"/>
  <c r="CZ316" i="3"/>
  <c r="DB316" i="3" s="1"/>
  <c r="DA316" i="3"/>
  <c r="DC316" i="3"/>
  <c r="A317" i="3"/>
  <c r="Y317" i="3"/>
  <c r="CY317" i="3"/>
  <c r="CZ317" i="3"/>
  <c r="DA317" i="3"/>
  <c r="DB317" i="3"/>
  <c r="DC317" i="3"/>
  <c r="A318" i="3"/>
  <c r="Y318" i="3"/>
  <c r="CY318" i="3"/>
  <c r="CZ318" i="3"/>
  <c r="DB318" i="3" s="1"/>
  <c r="DA318" i="3"/>
  <c r="DC318" i="3"/>
  <c r="A319" i="3"/>
  <c r="Y319" i="3"/>
  <c r="CY319" i="3"/>
  <c r="CZ319" i="3"/>
  <c r="DB319" i="3" s="1"/>
  <c r="DA319" i="3"/>
  <c r="DC319" i="3"/>
  <c r="A320" i="3"/>
  <c r="Y320" i="3"/>
  <c r="CY320" i="3"/>
  <c r="CZ320" i="3"/>
  <c r="DA320" i="3"/>
  <c r="DB320" i="3"/>
  <c r="DC320" i="3"/>
  <c r="A321" i="3"/>
  <c r="Y321" i="3"/>
  <c r="CY321" i="3"/>
  <c r="CZ321" i="3"/>
  <c r="DA321" i="3"/>
  <c r="DB321" i="3"/>
  <c r="DC321" i="3"/>
  <c r="A322" i="3"/>
  <c r="Y322" i="3"/>
  <c r="CY322" i="3"/>
  <c r="CZ322" i="3"/>
  <c r="DB322" i="3" s="1"/>
  <c r="DA322" i="3"/>
  <c r="DC322" i="3"/>
  <c r="A323" i="3"/>
  <c r="Y323" i="3"/>
  <c r="CY323" i="3"/>
  <c r="CZ323" i="3"/>
  <c r="DB323" i="3" s="1"/>
  <c r="DA323" i="3"/>
  <c r="DC323" i="3"/>
  <c r="A324" i="3"/>
  <c r="Y324" i="3"/>
  <c r="CY324" i="3"/>
  <c r="CZ324" i="3"/>
  <c r="DB324" i="3" s="1"/>
  <c r="DA324" i="3"/>
  <c r="DC324" i="3"/>
  <c r="A325" i="3"/>
  <c r="Y325" i="3"/>
  <c r="CY325" i="3"/>
  <c r="CZ325" i="3"/>
  <c r="DA325" i="3"/>
  <c r="DB325" i="3"/>
  <c r="DC325" i="3"/>
  <c r="A326" i="3"/>
  <c r="Y326" i="3"/>
  <c r="CY326" i="3"/>
  <c r="CZ326" i="3"/>
  <c r="DA326" i="3"/>
  <c r="DB326" i="3"/>
  <c r="DC326" i="3"/>
  <c r="A327" i="3"/>
  <c r="Y327" i="3"/>
  <c r="CY327" i="3"/>
  <c r="CZ327" i="3"/>
  <c r="DB327" i="3" s="1"/>
  <c r="DA327" i="3"/>
  <c r="DC327" i="3"/>
  <c r="A328" i="3"/>
  <c r="Y328" i="3"/>
  <c r="CY328" i="3"/>
  <c r="CZ328" i="3"/>
  <c r="DB328" i="3" s="1"/>
  <c r="DA328" i="3"/>
  <c r="DC328" i="3"/>
  <c r="A329" i="3"/>
  <c r="Y329" i="3"/>
  <c r="CY329" i="3"/>
  <c r="CZ329" i="3"/>
  <c r="DB329" i="3" s="1"/>
  <c r="DA329" i="3"/>
  <c r="DC329" i="3"/>
  <c r="A330" i="3"/>
  <c r="Y330" i="3"/>
  <c r="CY330" i="3"/>
  <c r="CZ330" i="3"/>
  <c r="DB330" i="3" s="1"/>
  <c r="DA330" i="3"/>
  <c r="DC330" i="3"/>
  <c r="A331" i="3"/>
  <c r="Y331" i="3"/>
  <c r="CY331" i="3"/>
  <c r="CZ331" i="3"/>
  <c r="DA331" i="3"/>
  <c r="DB331" i="3"/>
  <c r="DC331" i="3"/>
  <c r="A332" i="3"/>
  <c r="Y332" i="3"/>
  <c r="CY332" i="3"/>
  <c r="CZ332" i="3"/>
  <c r="DB332" i="3" s="1"/>
  <c r="DA332" i="3"/>
  <c r="DC332" i="3"/>
  <c r="A333" i="3"/>
  <c r="Y333" i="3"/>
  <c r="CY333" i="3"/>
  <c r="CZ333" i="3"/>
  <c r="DA333" i="3"/>
  <c r="DB333" i="3"/>
  <c r="DC333" i="3"/>
  <c r="A334" i="3"/>
  <c r="Y334" i="3"/>
  <c r="CY334" i="3"/>
  <c r="CZ334" i="3"/>
  <c r="DB334" i="3" s="1"/>
  <c r="DA334" i="3"/>
  <c r="DC334" i="3"/>
  <c r="A335" i="3"/>
  <c r="Y335" i="3"/>
  <c r="CY335" i="3"/>
  <c r="CZ335" i="3"/>
  <c r="DB335" i="3" s="1"/>
  <c r="DA335" i="3"/>
  <c r="DC335" i="3"/>
  <c r="A336" i="3"/>
  <c r="Y336" i="3"/>
  <c r="CY336" i="3"/>
  <c r="CZ336" i="3"/>
  <c r="DA336" i="3"/>
  <c r="DB336" i="3"/>
  <c r="DC336" i="3"/>
  <c r="A337" i="3"/>
  <c r="Y337" i="3"/>
  <c r="CY337" i="3"/>
  <c r="CZ337" i="3"/>
  <c r="DA337" i="3"/>
  <c r="DB337" i="3"/>
  <c r="DC337" i="3"/>
  <c r="A338" i="3"/>
  <c r="Y338" i="3"/>
  <c r="CY338" i="3"/>
  <c r="CZ338" i="3"/>
  <c r="DB338" i="3" s="1"/>
  <c r="DA338" i="3"/>
  <c r="DC33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9" i="1"/>
  <c r="D29" i="1"/>
  <c r="S29" i="1"/>
  <c r="CZ29" i="1" s="1"/>
  <c r="Y29" i="1" s="1"/>
  <c r="AC29" i="1"/>
  <c r="P29" i="1" s="1"/>
  <c r="CP29" i="1" s="1"/>
  <c r="O29" i="1" s="1"/>
  <c r="AD29" i="1"/>
  <c r="AE29" i="1"/>
  <c r="Q29" i="1" s="1"/>
  <c r="AF29" i="1"/>
  <c r="AG29" i="1"/>
  <c r="AH29" i="1"/>
  <c r="CV29" i="1" s="1"/>
  <c r="U29" i="1" s="1"/>
  <c r="AI29" i="1"/>
  <c r="AJ29" i="1"/>
  <c r="CQ29" i="1"/>
  <c r="CR29" i="1"/>
  <c r="CS29" i="1"/>
  <c r="CT29" i="1"/>
  <c r="CU29" i="1"/>
  <c r="T29" i="1" s="1"/>
  <c r="CW29" i="1"/>
  <c r="V29" i="1" s="1"/>
  <c r="CX29" i="1"/>
  <c r="W29" i="1" s="1"/>
  <c r="CY29" i="1"/>
  <c r="X29" i="1" s="1"/>
  <c r="FR29" i="1"/>
  <c r="GL29" i="1"/>
  <c r="GO29" i="1"/>
  <c r="GP29" i="1"/>
  <c r="GV29" i="1"/>
  <c r="HC29" i="1"/>
  <c r="GX29" i="1" s="1"/>
  <c r="C30" i="1"/>
  <c r="D30" i="1"/>
  <c r="I30" i="1"/>
  <c r="K30" i="1"/>
  <c r="R30" i="1"/>
  <c r="AC30" i="1"/>
  <c r="P30" i="1" s="1"/>
  <c r="AE30" i="1"/>
  <c r="AD30" i="1" s="1"/>
  <c r="AB30" i="1" s="1"/>
  <c r="AF30" i="1"/>
  <c r="S30" i="1" s="1"/>
  <c r="AG30" i="1"/>
  <c r="CU30" i="1" s="1"/>
  <c r="T30" i="1" s="1"/>
  <c r="AH30" i="1"/>
  <c r="AI30" i="1"/>
  <c r="AJ30" i="1"/>
  <c r="CX30" i="1" s="1"/>
  <c r="W30" i="1" s="1"/>
  <c r="CR30" i="1"/>
  <c r="CS30" i="1"/>
  <c r="CV30" i="1"/>
  <c r="U30" i="1" s="1"/>
  <c r="CW30" i="1"/>
  <c r="V30" i="1" s="1"/>
  <c r="FR30" i="1"/>
  <c r="GK30" i="1"/>
  <c r="GL30" i="1"/>
  <c r="GO30" i="1"/>
  <c r="GP30" i="1"/>
  <c r="GV30" i="1"/>
  <c r="GX30" i="1"/>
  <c r="HC30" i="1"/>
  <c r="D31" i="1"/>
  <c r="I31" i="1"/>
  <c r="K31" i="1"/>
  <c r="R31" i="1"/>
  <c r="GK31" i="1" s="1"/>
  <c r="AC31" i="1"/>
  <c r="P31" i="1" s="1"/>
  <c r="AE31" i="1"/>
  <c r="AD31" i="1" s="1"/>
  <c r="AB31" i="1" s="1"/>
  <c r="AF31" i="1"/>
  <c r="S31" i="1" s="1"/>
  <c r="AG31" i="1"/>
  <c r="CU31" i="1" s="1"/>
  <c r="T31" i="1" s="1"/>
  <c r="AH31" i="1"/>
  <c r="AI31" i="1"/>
  <c r="AJ31" i="1"/>
  <c r="CX31" i="1" s="1"/>
  <c r="W31" i="1" s="1"/>
  <c r="CR31" i="1"/>
  <c r="CS31" i="1"/>
  <c r="CV31" i="1"/>
  <c r="U31" i="1" s="1"/>
  <c r="CW31" i="1"/>
  <c r="V31" i="1" s="1"/>
  <c r="FR31" i="1"/>
  <c r="GL31" i="1"/>
  <c r="GO31" i="1"/>
  <c r="GP31" i="1"/>
  <c r="GV31" i="1"/>
  <c r="GX31" i="1"/>
  <c r="HC31" i="1"/>
  <c r="C32" i="1"/>
  <c r="D32" i="1"/>
  <c r="I32" i="1"/>
  <c r="Q32" i="1" s="1"/>
  <c r="K32" i="1"/>
  <c r="AC32" i="1"/>
  <c r="AE32" i="1"/>
  <c r="AF32" i="1"/>
  <c r="AG32" i="1"/>
  <c r="AH32" i="1"/>
  <c r="AI32" i="1"/>
  <c r="CW32" i="1" s="1"/>
  <c r="AJ32" i="1"/>
  <c r="CX32" i="1" s="1"/>
  <c r="CQ32" i="1"/>
  <c r="CR32" i="1"/>
  <c r="CU32" i="1"/>
  <c r="CV32" i="1"/>
  <c r="U32" i="1" s="1"/>
  <c r="FR32" i="1"/>
  <c r="GL32" i="1"/>
  <c r="GO32" i="1"/>
  <c r="GP32" i="1"/>
  <c r="GV32" i="1"/>
  <c r="HC32" i="1" s="1"/>
  <c r="C34" i="1"/>
  <c r="D34" i="1"/>
  <c r="I34" i="1"/>
  <c r="P34" i="1" s="1"/>
  <c r="K34" i="1"/>
  <c r="T34" i="1"/>
  <c r="AC34" i="1"/>
  <c r="AB34" i="1" s="1"/>
  <c r="AD34" i="1"/>
  <c r="AE34" i="1"/>
  <c r="AF34" i="1"/>
  <c r="AG34" i="1"/>
  <c r="AH34" i="1"/>
  <c r="AI34" i="1"/>
  <c r="CW34" i="1" s="1"/>
  <c r="AJ34" i="1"/>
  <c r="CQ34" i="1"/>
  <c r="CR34" i="1"/>
  <c r="CT34" i="1"/>
  <c r="CU34" i="1"/>
  <c r="CV34" i="1"/>
  <c r="U34" i="1" s="1"/>
  <c r="CX34" i="1"/>
  <c r="FR34" i="1"/>
  <c r="GL34" i="1"/>
  <c r="GO34" i="1"/>
  <c r="GP34" i="1"/>
  <c r="GV34" i="1"/>
  <c r="HC34" i="1" s="1"/>
  <c r="AB35" i="1"/>
  <c r="AC35" i="1"/>
  <c r="AE35" i="1"/>
  <c r="AD35" i="1" s="1"/>
  <c r="AF35" i="1"/>
  <c r="AG35" i="1"/>
  <c r="CU35" i="1" s="1"/>
  <c r="AH35" i="1"/>
  <c r="AI35" i="1"/>
  <c r="AJ35" i="1"/>
  <c r="CX35" i="1" s="1"/>
  <c r="CR35" i="1"/>
  <c r="CS35" i="1"/>
  <c r="CT35" i="1"/>
  <c r="CV35" i="1"/>
  <c r="CW35" i="1"/>
  <c r="FR35" i="1"/>
  <c r="GL35" i="1"/>
  <c r="GO35" i="1"/>
  <c r="GP35" i="1"/>
  <c r="GV35" i="1"/>
  <c r="HC35" i="1"/>
  <c r="C36" i="1"/>
  <c r="D36" i="1"/>
  <c r="I36" i="1"/>
  <c r="K36" i="1"/>
  <c r="Q36" i="1"/>
  <c r="AC36" i="1"/>
  <c r="AE36" i="1"/>
  <c r="AD36" i="1" s="1"/>
  <c r="AB36" i="1" s="1"/>
  <c r="AF36" i="1"/>
  <c r="AG36" i="1"/>
  <c r="AH36" i="1"/>
  <c r="AI36" i="1"/>
  <c r="CW36" i="1" s="1"/>
  <c r="V36" i="1" s="1"/>
  <c r="AJ36" i="1"/>
  <c r="CX36" i="1" s="1"/>
  <c r="W36" i="1" s="1"/>
  <c r="CQ36" i="1"/>
  <c r="CS36" i="1"/>
  <c r="CU36" i="1"/>
  <c r="T36" i="1" s="1"/>
  <c r="CV36" i="1"/>
  <c r="U36" i="1" s="1"/>
  <c r="FR36" i="1"/>
  <c r="GL36" i="1"/>
  <c r="GO36" i="1"/>
  <c r="GP36" i="1"/>
  <c r="GV36" i="1"/>
  <c r="HC36" i="1" s="1"/>
  <c r="GX36" i="1"/>
  <c r="AC37" i="1"/>
  <c r="AD37" i="1"/>
  <c r="AE37" i="1"/>
  <c r="AF37" i="1"/>
  <c r="AG37" i="1"/>
  <c r="AH37" i="1"/>
  <c r="CV37" i="1" s="1"/>
  <c r="AI37" i="1"/>
  <c r="AJ37" i="1"/>
  <c r="CQ37" i="1"/>
  <c r="CR37" i="1"/>
  <c r="CS37" i="1"/>
  <c r="CT37" i="1"/>
  <c r="CU37" i="1"/>
  <c r="CW37" i="1"/>
  <c r="CX37" i="1"/>
  <c r="FR37" i="1"/>
  <c r="GL37" i="1"/>
  <c r="GO37" i="1"/>
  <c r="GP37" i="1"/>
  <c r="GV37" i="1"/>
  <c r="HC37" i="1"/>
  <c r="I38" i="1"/>
  <c r="P38" i="1" s="1"/>
  <c r="Q38" i="1"/>
  <c r="R38" i="1"/>
  <c r="GK38" i="1" s="1"/>
  <c r="AB38" i="1"/>
  <c r="AC38" i="1"/>
  <c r="AE38" i="1"/>
  <c r="AD38" i="1" s="1"/>
  <c r="AF38" i="1"/>
  <c r="AG38" i="1"/>
  <c r="AH38" i="1"/>
  <c r="AI38" i="1"/>
  <c r="CW38" i="1" s="1"/>
  <c r="V38" i="1" s="1"/>
  <c r="AJ38" i="1"/>
  <c r="CX38" i="1" s="1"/>
  <c r="W38" i="1" s="1"/>
  <c r="CQ38" i="1"/>
  <c r="CS38" i="1"/>
  <c r="CU38" i="1"/>
  <c r="T38" i="1" s="1"/>
  <c r="CV38" i="1"/>
  <c r="U38" i="1" s="1"/>
  <c r="FR38" i="1"/>
  <c r="GL38" i="1"/>
  <c r="GO38" i="1"/>
  <c r="GP38" i="1"/>
  <c r="GV38" i="1"/>
  <c r="HC38" i="1" s="1"/>
  <c r="GX38" i="1"/>
  <c r="I39" i="1"/>
  <c r="Q39" i="1" s="1"/>
  <c r="S39" i="1"/>
  <c r="CZ39" i="1" s="1"/>
  <c r="Y39" i="1" s="1"/>
  <c r="AC39" i="1"/>
  <c r="AB39" i="1" s="1"/>
  <c r="AD39" i="1"/>
  <c r="AE39" i="1"/>
  <c r="AF39" i="1"/>
  <c r="AG39" i="1"/>
  <c r="AH39" i="1"/>
  <c r="CV39" i="1" s="1"/>
  <c r="AI39" i="1"/>
  <c r="AJ39" i="1"/>
  <c r="CQ39" i="1"/>
  <c r="CR39" i="1"/>
  <c r="CS39" i="1"/>
  <c r="CT39" i="1"/>
  <c r="CU39" i="1"/>
  <c r="T39" i="1" s="1"/>
  <c r="CW39" i="1"/>
  <c r="V39" i="1" s="1"/>
  <c r="CX39" i="1"/>
  <c r="FR39" i="1"/>
  <c r="GL39" i="1"/>
  <c r="GO39" i="1"/>
  <c r="GP39" i="1"/>
  <c r="GV39" i="1"/>
  <c r="HC39" i="1"/>
  <c r="GX39" i="1" s="1"/>
  <c r="C40" i="1"/>
  <c r="D40" i="1"/>
  <c r="I40" i="1"/>
  <c r="K40" i="1"/>
  <c r="U40" i="1"/>
  <c r="AB40" i="1"/>
  <c r="AC40" i="1"/>
  <c r="AE40" i="1"/>
  <c r="AD40" i="1" s="1"/>
  <c r="AF40" i="1"/>
  <c r="S40" i="1" s="1"/>
  <c r="AG40" i="1"/>
  <c r="CU40" i="1" s="1"/>
  <c r="T40" i="1" s="1"/>
  <c r="AH40" i="1"/>
  <c r="AI40" i="1"/>
  <c r="AJ40" i="1"/>
  <c r="CQ40" i="1"/>
  <c r="CR40" i="1"/>
  <c r="CS40" i="1"/>
  <c r="CT40" i="1"/>
  <c r="CV40" i="1"/>
  <c r="CW40" i="1"/>
  <c r="V40" i="1" s="1"/>
  <c r="CX40" i="1"/>
  <c r="W40" i="1" s="1"/>
  <c r="FR40" i="1"/>
  <c r="GL40" i="1"/>
  <c r="GO40" i="1"/>
  <c r="GP40" i="1"/>
  <c r="GV40" i="1"/>
  <c r="HC40" i="1"/>
  <c r="GX40" i="1" s="1"/>
  <c r="I41" i="1"/>
  <c r="P41" i="1"/>
  <c r="S41" i="1"/>
  <c r="AC41" i="1"/>
  <c r="AE41" i="1"/>
  <c r="AD41" i="1" s="1"/>
  <c r="AF41" i="1"/>
  <c r="AG41" i="1"/>
  <c r="AH41" i="1"/>
  <c r="AI41" i="1"/>
  <c r="CW41" i="1" s="1"/>
  <c r="V41" i="1" s="1"/>
  <c r="AJ41" i="1"/>
  <c r="CQ41" i="1"/>
  <c r="CR41" i="1"/>
  <c r="CT41" i="1"/>
  <c r="CU41" i="1"/>
  <c r="T41" i="1" s="1"/>
  <c r="CV41" i="1"/>
  <c r="U41" i="1" s="1"/>
  <c r="CX41" i="1"/>
  <c r="W41" i="1" s="1"/>
  <c r="CY41" i="1"/>
  <c r="X41" i="1" s="1"/>
  <c r="CZ41" i="1"/>
  <c r="Y41" i="1" s="1"/>
  <c r="FR41" i="1"/>
  <c r="GL41" i="1"/>
  <c r="GO41" i="1"/>
  <c r="GP41" i="1"/>
  <c r="GV41" i="1"/>
  <c r="HC41" i="1" s="1"/>
  <c r="GX41" i="1" s="1"/>
  <c r="I42" i="1"/>
  <c r="Q42" i="1" s="1"/>
  <c r="R42" i="1"/>
  <c r="S42" i="1"/>
  <c r="CY42" i="1" s="1"/>
  <c r="X42" i="1" s="1"/>
  <c r="AC42" i="1"/>
  <c r="AE42" i="1"/>
  <c r="AD42" i="1" s="1"/>
  <c r="AF42" i="1"/>
  <c r="AG42" i="1"/>
  <c r="CU42" i="1" s="1"/>
  <c r="T42" i="1" s="1"/>
  <c r="AH42" i="1"/>
  <c r="AI42" i="1"/>
  <c r="AJ42" i="1"/>
  <c r="CR42" i="1"/>
  <c r="CS42" i="1"/>
  <c r="CT42" i="1"/>
  <c r="CV42" i="1"/>
  <c r="U42" i="1" s="1"/>
  <c r="CW42" i="1"/>
  <c r="V42" i="1" s="1"/>
  <c r="CX42" i="1"/>
  <c r="W42" i="1" s="1"/>
  <c r="FR42" i="1"/>
  <c r="GK42" i="1"/>
  <c r="GL42" i="1"/>
  <c r="GO42" i="1"/>
  <c r="GP42" i="1"/>
  <c r="GV42" i="1"/>
  <c r="HC42" i="1"/>
  <c r="GX42" i="1" s="1"/>
  <c r="C43" i="1"/>
  <c r="D43" i="1"/>
  <c r="I43" i="1"/>
  <c r="P43" i="1" s="1"/>
  <c r="K43" i="1"/>
  <c r="R43" i="1"/>
  <c r="GK43" i="1" s="1"/>
  <c r="AC43" i="1"/>
  <c r="AE43" i="1"/>
  <c r="Q43" i="1" s="1"/>
  <c r="AF43" i="1"/>
  <c r="S43" i="1" s="1"/>
  <c r="AG43" i="1"/>
  <c r="AH43" i="1"/>
  <c r="AI43" i="1"/>
  <c r="AJ43" i="1"/>
  <c r="CX43" i="1" s="1"/>
  <c r="W43" i="1" s="1"/>
  <c r="CQ43" i="1"/>
  <c r="CR43" i="1"/>
  <c r="CS43" i="1"/>
  <c r="CU43" i="1"/>
  <c r="T43" i="1" s="1"/>
  <c r="CV43" i="1"/>
  <c r="U43" i="1" s="1"/>
  <c r="CW43" i="1"/>
  <c r="V43" i="1" s="1"/>
  <c r="FR43" i="1"/>
  <c r="GL43" i="1"/>
  <c r="GO43" i="1"/>
  <c r="GP43" i="1"/>
  <c r="GV43" i="1"/>
  <c r="HC43" i="1" s="1"/>
  <c r="GX43" i="1" s="1"/>
  <c r="AC44" i="1"/>
  <c r="AB44" i="1" s="1"/>
  <c r="AD44" i="1"/>
  <c r="AE44" i="1"/>
  <c r="AF44" i="1"/>
  <c r="AG44" i="1"/>
  <c r="AH44" i="1"/>
  <c r="CV44" i="1" s="1"/>
  <c r="AI44" i="1"/>
  <c r="AJ44" i="1"/>
  <c r="CQ44" i="1"/>
  <c r="CR44" i="1"/>
  <c r="CS44" i="1"/>
  <c r="CT44" i="1"/>
  <c r="CU44" i="1"/>
  <c r="CW44" i="1"/>
  <c r="CX44" i="1"/>
  <c r="FR44" i="1"/>
  <c r="GL44" i="1"/>
  <c r="GO44" i="1"/>
  <c r="GP44" i="1"/>
  <c r="GV44" i="1"/>
  <c r="HC44" i="1"/>
  <c r="C45" i="1"/>
  <c r="D45" i="1"/>
  <c r="I45" i="1"/>
  <c r="K45" i="1"/>
  <c r="R45" i="1"/>
  <c r="S45" i="1"/>
  <c r="CY45" i="1" s="1"/>
  <c r="X45" i="1" s="1"/>
  <c r="AC45" i="1"/>
  <c r="AB45" i="1" s="1"/>
  <c r="AE45" i="1"/>
  <c r="AD45" i="1" s="1"/>
  <c r="AF45" i="1"/>
  <c r="AG45" i="1"/>
  <c r="CU45" i="1" s="1"/>
  <c r="T45" i="1" s="1"/>
  <c r="AH45" i="1"/>
  <c r="AI45" i="1"/>
  <c r="AJ45" i="1"/>
  <c r="CR45" i="1"/>
  <c r="CS45" i="1"/>
  <c r="CT45" i="1"/>
  <c r="CV45" i="1"/>
  <c r="U45" i="1" s="1"/>
  <c r="CW45" i="1"/>
  <c r="V45" i="1" s="1"/>
  <c r="CX45" i="1"/>
  <c r="W45" i="1" s="1"/>
  <c r="FR45" i="1"/>
  <c r="GL45" i="1"/>
  <c r="GO45" i="1"/>
  <c r="GP45" i="1"/>
  <c r="GV45" i="1"/>
  <c r="HC45" i="1"/>
  <c r="GX45" i="1" s="1"/>
  <c r="I46" i="1"/>
  <c r="Q46" i="1" s="1"/>
  <c r="R46" i="1"/>
  <c r="GK46" i="1" s="1"/>
  <c r="AC46" i="1"/>
  <c r="AE46" i="1"/>
  <c r="AD46" i="1" s="1"/>
  <c r="AB46" i="1" s="1"/>
  <c r="AF46" i="1"/>
  <c r="S46" i="1" s="1"/>
  <c r="AG46" i="1"/>
  <c r="AH46" i="1"/>
  <c r="AI46" i="1"/>
  <c r="AJ46" i="1"/>
  <c r="CX46" i="1" s="1"/>
  <c r="W46" i="1" s="1"/>
  <c r="CQ46" i="1"/>
  <c r="CR46" i="1"/>
  <c r="CS46" i="1"/>
  <c r="CU46" i="1"/>
  <c r="T46" i="1" s="1"/>
  <c r="CV46" i="1"/>
  <c r="U46" i="1" s="1"/>
  <c r="CW46" i="1"/>
  <c r="V46" i="1" s="1"/>
  <c r="FR46" i="1"/>
  <c r="GL46" i="1"/>
  <c r="GO46" i="1"/>
  <c r="GP46" i="1"/>
  <c r="GV46" i="1"/>
  <c r="HC46" i="1" s="1"/>
  <c r="GX46" i="1" s="1"/>
  <c r="C47" i="1"/>
  <c r="D47" i="1"/>
  <c r="I47" i="1"/>
  <c r="I49" i="1" s="1"/>
  <c r="K47" i="1"/>
  <c r="AC47" i="1"/>
  <c r="AE47" i="1"/>
  <c r="AD47" i="1" s="1"/>
  <c r="AF47" i="1"/>
  <c r="AG47" i="1"/>
  <c r="AH47" i="1"/>
  <c r="AI47" i="1"/>
  <c r="CW47" i="1" s="1"/>
  <c r="V47" i="1" s="1"/>
  <c r="AJ47" i="1"/>
  <c r="CQ47" i="1"/>
  <c r="CR47" i="1"/>
  <c r="CT47" i="1"/>
  <c r="CU47" i="1"/>
  <c r="T47" i="1" s="1"/>
  <c r="CV47" i="1"/>
  <c r="U47" i="1" s="1"/>
  <c r="CX47" i="1"/>
  <c r="W47" i="1" s="1"/>
  <c r="FR47" i="1"/>
  <c r="GL47" i="1"/>
  <c r="GO47" i="1"/>
  <c r="GP47" i="1"/>
  <c r="GV47" i="1"/>
  <c r="HC47" i="1" s="1"/>
  <c r="GX47" i="1" s="1"/>
  <c r="AC48" i="1"/>
  <c r="AE48" i="1"/>
  <c r="AD48" i="1" s="1"/>
  <c r="AF48" i="1"/>
  <c r="AG48" i="1"/>
  <c r="CU48" i="1" s="1"/>
  <c r="AH48" i="1"/>
  <c r="AI48" i="1"/>
  <c r="AJ48" i="1"/>
  <c r="CR48" i="1"/>
  <c r="CS48" i="1"/>
  <c r="CT48" i="1"/>
  <c r="CV48" i="1"/>
  <c r="CW48" i="1"/>
  <c r="CX48" i="1"/>
  <c r="FR48" i="1"/>
  <c r="GL48" i="1"/>
  <c r="GO48" i="1"/>
  <c r="GP48" i="1"/>
  <c r="GV48" i="1"/>
  <c r="HC48" i="1"/>
  <c r="AC49" i="1"/>
  <c r="AB49" i="1" s="1"/>
  <c r="AE49" i="1"/>
  <c r="AD49" i="1" s="1"/>
  <c r="AF49" i="1"/>
  <c r="AG49" i="1"/>
  <c r="AH49" i="1"/>
  <c r="AI49" i="1"/>
  <c r="CW49" i="1" s="1"/>
  <c r="V49" i="1" s="1"/>
  <c r="AJ49" i="1"/>
  <c r="CQ49" i="1"/>
  <c r="CR49" i="1"/>
  <c r="CT49" i="1"/>
  <c r="CU49" i="1"/>
  <c r="T49" i="1" s="1"/>
  <c r="CV49" i="1"/>
  <c r="U49" i="1" s="1"/>
  <c r="CX49" i="1"/>
  <c r="W49" i="1" s="1"/>
  <c r="FR49" i="1"/>
  <c r="GL49" i="1"/>
  <c r="GO49" i="1"/>
  <c r="GP49" i="1"/>
  <c r="GV49" i="1"/>
  <c r="HC49" i="1" s="1"/>
  <c r="GX49" i="1" s="1"/>
  <c r="C50" i="1"/>
  <c r="D50" i="1"/>
  <c r="I50" i="1"/>
  <c r="K50" i="1"/>
  <c r="P50" i="1"/>
  <c r="R50" i="1"/>
  <c r="S50" i="1"/>
  <c r="CZ50" i="1" s="1"/>
  <c r="Y50" i="1" s="1"/>
  <c r="AC50" i="1"/>
  <c r="AB50" i="1" s="1"/>
  <c r="AD50" i="1"/>
  <c r="AE50" i="1"/>
  <c r="Q50" i="1" s="1"/>
  <c r="AF50" i="1"/>
  <c r="AG50" i="1"/>
  <c r="AH50" i="1"/>
  <c r="CV50" i="1" s="1"/>
  <c r="U50" i="1" s="1"/>
  <c r="AI50" i="1"/>
  <c r="AJ50" i="1"/>
  <c r="CQ50" i="1"/>
  <c r="CR50" i="1"/>
  <c r="CS50" i="1"/>
  <c r="CT50" i="1"/>
  <c r="CU50" i="1"/>
  <c r="T50" i="1" s="1"/>
  <c r="CW50" i="1"/>
  <c r="V50" i="1" s="1"/>
  <c r="CX50" i="1"/>
  <c r="W50" i="1" s="1"/>
  <c r="CY50" i="1"/>
  <c r="X50" i="1" s="1"/>
  <c r="FR50" i="1"/>
  <c r="GK50" i="1"/>
  <c r="GL50" i="1"/>
  <c r="GO50" i="1"/>
  <c r="GP50" i="1"/>
  <c r="GV50" i="1"/>
  <c r="HC50" i="1"/>
  <c r="GX50" i="1" s="1"/>
  <c r="I51" i="1"/>
  <c r="Q51" i="1" s="1"/>
  <c r="R51" i="1"/>
  <c r="GK51" i="1" s="1"/>
  <c r="AC51" i="1"/>
  <c r="AE51" i="1"/>
  <c r="AD51" i="1" s="1"/>
  <c r="AB51" i="1" s="1"/>
  <c r="AF51" i="1"/>
  <c r="S51" i="1" s="1"/>
  <c r="AG51" i="1"/>
  <c r="AH51" i="1"/>
  <c r="AI51" i="1"/>
  <c r="AJ51" i="1"/>
  <c r="CX51" i="1" s="1"/>
  <c r="W51" i="1" s="1"/>
  <c r="CQ51" i="1"/>
  <c r="CR51" i="1"/>
  <c r="CS51" i="1"/>
  <c r="CU51" i="1"/>
  <c r="T51" i="1" s="1"/>
  <c r="CV51" i="1"/>
  <c r="U51" i="1" s="1"/>
  <c r="CW51" i="1"/>
  <c r="V51" i="1" s="1"/>
  <c r="FR51" i="1"/>
  <c r="GL51" i="1"/>
  <c r="GO51" i="1"/>
  <c r="GP51" i="1"/>
  <c r="GV51" i="1"/>
  <c r="HC51" i="1" s="1"/>
  <c r="GX51" i="1" s="1"/>
  <c r="I52" i="1"/>
  <c r="Q52" i="1" s="1"/>
  <c r="P52" i="1"/>
  <c r="R52" i="1"/>
  <c r="S52" i="1"/>
  <c r="CZ52" i="1" s="1"/>
  <c r="Y52" i="1" s="1"/>
  <c r="AC52" i="1"/>
  <c r="AB52" i="1" s="1"/>
  <c r="AD52" i="1"/>
  <c r="AE52" i="1"/>
  <c r="AF52" i="1"/>
  <c r="AG52" i="1"/>
  <c r="AH52" i="1"/>
  <c r="CV52" i="1" s="1"/>
  <c r="U52" i="1" s="1"/>
  <c r="AI52" i="1"/>
  <c r="AJ52" i="1"/>
  <c r="CQ52" i="1"/>
  <c r="CR52" i="1"/>
  <c r="CS52" i="1"/>
  <c r="CT52" i="1"/>
  <c r="CU52" i="1"/>
  <c r="T52" i="1" s="1"/>
  <c r="CW52" i="1"/>
  <c r="V52" i="1" s="1"/>
  <c r="CX52" i="1"/>
  <c r="W52" i="1" s="1"/>
  <c r="CY52" i="1"/>
  <c r="X52" i="1" s="1"/>
  <c r="FR52" i="1"/>
  <c r="GK52" i="1"/>
  <c r="GL52" i="1"/>
  <c r="GO52" i="1"/>
  <c r="GP52" i="1"/>
  <c r="GV52" i="1"/>
  <c r="HC52" i="1"/>
  <c r="GX52" i="1" s="1"/>
  <c r="I53" i="1"/>
  <c r="Q53" i="1" s="1"/>
  <c r="R53" i="1"/>
  <c r="GK53" i="1" s="1"/>
  <c r="AC53" i="1"/>
  <c r="AE53" i="1"/>
  <c r="AD53" i="1" s="1"/>
  <c r="AB53" i="1" s="1"/>
  <c r="AF53" i="1"/>
  <c r="S53" i="1" s="1"/>
  <c r="AG53" i="1"/>
  <c r="AH53" i="1"/>
  <c r="AI53" i="1"/>
  <c r="AJ53" i="1"/>
  <c r="CX53" i="1" s="1"/>
  <c r="W53" i="1" s="1"/>
  <c r="CQ53" i="1"/>
  <c r="CR53" i="1"/>
  <c r="CS53" i="1"/>
  <c r="CU53" i="1"/>
  <c r="T53" i="1" s="1"/>
  <c r="CV53" i="1"/>
  <c r="U53" i="1" s="1"/>
  <c r="CW53" i="1"/>
  <c r="V53" i="1" s="1"/>
  <c r="FR53" i="1"/>
  <c r="GL53" i="1"/>
  <c r="GO53" i="1"/>
  <c r="GP53" i="1"/>
  <c r="GV53" i="1"/>
  <c r="HC53" i="1" s="1"/>
  <c r="GX53" i="1" s="1"/>
  <c r="C54" i="1"/>
  <c r="D54" i="1"/>
  <c r="I54" i="1"/>
  <c r="S54" i="1" s="1"/>
  <c r="K54" i="1"/>
  <c r="AC54" i="1"/>
  <c r="AE54" i="1"/>
  <c r="AD54" i="1" s="1"/>
  <c r="AF54" i="1"/>
  <c r="AG54" i="1"/>
  <c r="AH54" i="1"/>
  <c r="AI54" i="1"/>
  <c r="CW54" i="1" s="1"/>
  <c r="V54" i="1" s="1"/>
  <c r="AJ54" i="1"/>
  <c r="CQ54" i="1"/>
  <c r="CR54" i="1"/>
  <c r="CT54" i="1"/>
  <c r="CU54" i="1"/>
  <c r="T54" i="1" s="1"/>
  <c r="CV54" i="1"/>
  <c r="U54" i="1" s="1"/>
  <c r="CX54" i="1"/>
  <c r="W54" i="1" s="1"/>
  <c r="FR54" i="1"/>
  <c r="GL54" i="1"/>
  <c r="GO54" i="1"/>
  <c r="GP54" i="1"/>
  <c r="GV54" i="1"/>
  <c r="HC54" i="1" s="1"/>
  <c r="GX54" i="1" s="1"/>
  <c r="AC55" i="1"/>
  <c r="AE55" i="1"/>
  <c r="AD55" i="1" s="1"/>
  <c r="AF55" i="1"/>
  <c r="AG55" i="1"/>
  <c r="CU55" i="1" s="1"/>
  <c r="AH55" i="1"/>
  <c r="AI55" i="1"/>
  <c r="AJ55" i="1"/>
  <c r="CR55" i="1"/>
  <c r="CS55" i="1"/>
  <c r="CT55" i="1"/>
  <c r="CV55" i="1"/>
  <c r="CW55" i="1"/>
  <c r="CX55" i="1"/>
  <c r="FR55" i="1"/>
  <c r="GL55" i="1"/>
  <c r="GO55" i="1"/>
  <c r="GP55" i="1"/>
  <c r="GV55" i="1"/>
  <c r="HC55" i="1"/>
  <c r="C56" i="1"/>
  <c r="D56" i="1"/>
  <c r="I56" i="1"/>
  <c r="P56" i="1" s="1"/>
  <c r="K56" i="1"/>
  <c r="R56" i="1"/>
  <c r="GK56" i="1" s="1"/>
  <c r="AC56" i="1"/>
  <c r="AE56" i="1"/>
  <c r="Q56" i="1" s="1"/>
  <c r="AF56" i="1"/>
  <c r="S56" i="1" s="1"/>
  <c r="AG56" i="1"/>
  <c r="AH56" i="1"/>
  <c r="AI56" i="1"/>
  <c r="AJ56" i="1"/>
  <c r="CX56" i="1" s="1"/>
  <c r="W56" i="1" s="1"/>
  <c r="CQ56" i="1"/>
  <c r="CR56" i="1"/>
  <c r="CS56" i="1"/>
  <c r="CU56" i="1"/>
  <c r="T56" i="1" s="1"/>
  <c r="CV56" i="1"/>
  <c r="U56" i="1" s="1"/>
  <c r="CW56" i="1"/>
  <c r="V56" i="1" s="1"/>
  <c r="FR56" i="1"/>
  <c r="GL56" i="1"/>
  <c r="GO56" i="1"/>
  <c r="GP56" i="1"/>
  <c r="GV56" i="1"/>
  <c r="HC56" i="1" s="1"/>
  <c r="GX56" i="1" s="1"/>
  <c r="AC57" i="1"/>
  <c r="AB57" i="1" s="1"/>
  <c r="AD57" i="1"/>
  <c r="AE57" i="1"/>
  <c r="AF57" i="1"/>
  <c r="AG57" i="1"/>
  <c r="AH57" i="1"/>
  <c r="CV57" i="1" s="1"/>
  <c r="AI57" i="1"/>
  <c r="AJ57" i="1"/>
  <c r="CQ57" i="1"/>
  <c r="CR57" i="1"/>
  <c r="CS57" i="1"/>
  <c r="CT57" i="1"/>
  <c r="CU57" i="1"/>
  <c r="CW57" i="1"/>
  <c r="CX57" i="1"/>
  <c r="FR57" i="1"/>
  <c r="GL57" i="1"/>
  <c r="GO57" i="1"/>
  <c r="GP57" i="1"/>
  <c r="GV57" i="1"/>
  <c r="HC57" i="1"/>
  <c r="I58" i="1"/>
  <c r="Q58" i="1" s="1"/>
  <c r="R58" i="1"/>
  <c r="GK58" i="1" s="1"/>
  <c r="AC58" i="1"/>
  <c r="AE58" i="1"/>
  <c r="AD58" i="1" s="1"/>
  <c r="AB58" i="1" s="1"/>
  <c r="AF58" i="1"/>
  <c r="S58" i="1" s="1"/>
  <c r="AG58" i="1"/>
  <c r="AH58" i="1"/>
  <c r="AI58" i="1"/>
  <c r="AJ58" i="1"/>
  <c r="CX58" i="1" s="1"/>
  <c r="W58" i="1" s="1"/>
  <c r="CQ58" i="1"/>
  <c r="CR58" i="1"/>
  <c r="CS58" i="1"/>
  <c r="CU58" i="1"/>
  <c r="T58" i="1" s="1"/>
  <c r="CV58" i="1"/>
  <c r="U58" i="1" s="1"/>
  <c r="CW58" i="1"/>
  <c r="V58" i="1" s="1"/>
  <c r="FR58" i="1"/>
  <c r="GL58" i="1"/>
  <c r="GO58" i="1"/>
  <c r="GP58" i="1"/>
  <c r="GV58" i="1"/>
  <c r="HC58" i="1" s="1"/>
  <c r="GX58" i="1" s="1"/>
  <c r="C59" i="1"/>
  <c r="D59" i="1"/>
  <c r="I59" i="1"/>
  <c r="I61" i="1" s="1"/>
  <c r="K59" i="1"/>
  <c r="AC59" i="1"/>
  <c r="AB59" i="1" s="1"/>
  <c r="AE59" i="1"/>
  <c r="AD59" i="1" s="1"/>
  <c r="AF59" i="1"/>
  <c r="AG59" i="1"/>
  <c r="AH59" i="1"/>
  <c r="AI59" i="1"/>
  <c r="CW59" i="1" s="1"/>
  <c r="V59" i="1" s="1"/>
  <c r="AJ59" i="1"/>
  <c r="CQ59" i="1"/>
  <c r="CR59" i="1"/>
  <c r="CT59" i="1"/>
  <c r="CU59" i="1"/>
  <c r="T59" i="1" s="1"/>
  <c r="CV59" i="1"/>
  <c r="U59" i="1" s="1"/>
  <c r="CX59" i="1"/>
  <c r="W59" i="1" s="1"/>
  <c r="FR59" i="1"/>
  <c r="GL59" i="1"/>
  <c r="GO59" i="1"/>
  <c r="GP59" i="1"/>
  <c r="GV59" i="1"/>
  <c r="HC59" i="1" s="1"/>
  <c r="GX59" i="1" s="1"/>
  <c r="AC60" i="1"/>
  <c r="AE60" i="1"/>
  <c r="AD60" i="1" s="1"/>
  <c r="AF60" i="1"/>
  <c r="AG60" i="1"/>
  <c r="CU60" i="1" s="1"/>
  <c r="AH60" i="1"/>
  <c r="AI60" i="1"/>
  <c r="AJ60" i="1"/>
  <c r="CR60" i="1"/>
  <c r="CS60" i="1"/>
  <c r="CT60" i="1"/>
  <c r="CV60" i="1"/>
  <c r="CW60" i="1"/>
  <c r="CX60" i="1"/>
  <c r="FR60" i="1"/>
  <c r="GL60" i="1"/>
  <c r="GO60" i="1"/>
  <c r="GP60" i="1"/>
  <c r="GV60" i="1"/>
  <c r="HC60" i="1"/>
  <c r="AC61" i="1"/>
  <c r="AE61" i="1"/>
  <c r="AD61" i="1" s="1"/>
  <c r="AF61" i="1"/>
  <c r="AG61" i="1"/>
  <c r="AH61" i="1"/>
  <c r="AI61" i="1"/>
  <c r="CW61" i="1" s="1"/>
  <c r="V61" i="1" s="1"/>
  <c r="AJ61" i="1"/>
  <c r="CQ61" i="1"/>
  <c r="CR61" i="1"/>
  <c r="CT61" i="1"/>
  <c r="CU61" i="1"/>
  <c r="T61" i="1" s="1"/>
  <c r="CV61" i="1"/>
  <c r="U61" i="1" s="1"/>
  <c r="CX61" i="1"/>
  <c r="FR61" i="1"/>
  <c r="GL61" i="1"/>
  <c r="GO61" i="1"/>
  <c r="GP61" i="1"/>
  <c r="GV61" i="1"/>
  <c r="HC61" i="1" s="1"/>
  <c r="GX61" i="1" s="1"/>
  <c r="B63" i="1"/>
  <c r="B26" i="1" s="1"/>
  <c r="C63" i="1"/>
  <c r="C26" i="1" s="1"/>
  <c r="D63" i="1"/>
  <c r="D26" i="1" s="1"/>
  <c r="F63" i="1"/>
  <c r="F26" i="1" s="1"/>
  <c r="G63" i="1"/>
  <c r="G26" i="1" s="1"/>
  <c r="AU63" i="1"/>
  <c r="BX63" i="1"/>
  <c r="BX26" i="1" s="1"/>
  <c r="BY63" i="1"/>
  <c r="BY26" i="1" s="1"/>
  <c r="BZ63" i="1"/>
  <c r="AQ63" i="1" s="1"/>
  <c r="CC63" i="1"/>
  <c r="CC26" i="1" s="1"/>
  <c r="CD63" i="1"/>
  <c r="CD26" i="1" s="1"/>
  <c r="CK63" i="1"/>
  <c r="CK26" i="1" s="1"/>
  <c r="CL63" i="1"/>
  <c r="CL26" i="1" s="1"/>
  <c r="CM63" i="1"/>
  <c r="CM26" i="1" s="1"/>
  <c r="D93" i="1"/>
  <c r="E95" i="1"/>
  <c r="Z95" i="1"/>
  <c r="AA95" i="1"/>
  <c r="AM95" i="1"/>
  <c r="AN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EG95" i="1"/>
  <c r="EH95" i="1"/>
  <c r="EI95" i="1"/>
  <c r="EJ95" i="1"/>
  <c r="EK95" i="1"/>
  <c r="EL95" i="1"/>
  <c r="EM95" i="1"/>
  <c r="EN95" i="1"/>
  <c r="EO95" i="1"/>
  <c r="EP95" i="1"/>
  <c r="EQ95" i="1"/>
  <c r="ER95" i="1"/>
  <c r="ES95" i="1"/>
  <c r="ET95" i="1"/>
  <c r="EU95" i="1"/>
  <c r="EV95" i="1"/>
  <c r="EW95" i="1"/>
  <c r="EX95" i="1"/>
  <c r="EY95" i="1"/>
  <c r="EZ95" i="1"/>
  <c r="FA95" i="1"/>
  <c r="FB95" i="1"/>
  <c r="FC95" i="1"/>
  <c r="FD95" i="1"/>
  <c r="FE95" i="1"/>
  <c r="FF95" i="1"/>
  <c r="FG95" i="1"/>
  <c r="FH95" i="1"/>
  <c r="FI95" i="1"/>
  <c r="FJ95" i="1"/>
  <c r="FK95" i="1"/>
  <c r="FL95" i="1"/>
  <c r="FM95" i="1"/>
  <c r="FN95" i="1"/>
  <c r="FO95" i="1"/>
  <c r="FP95" i="1"/>
  <c r="FQ95" i="1"/>
  <c r="FR95" i="1"/>
  <c r="FS95" i="1"/>
  <c r="FT95" i="1"/>
  <c r="FU95" i="1"/>
  <c r="FV95" i="1"/>
  <c r="FW95" i="1"/>
  <c r="FX95" i="1"/>
  <c r="FY95" i="1"/>
  <c r="FZ95" i="1"/>
  <c r="GA95" i="1"/>
  <c r="GB95" i="1"/>
  <c r="GC95" i="1"/>
  <c r="GD95" i="1"/>
  <c r="GE95" i="1"/>
  <c r="GF95" i="1"/>
  <c r="GG95" i="1"/>
  <c r="GH95" i="1"/>
  <c r="GI95" i="1"/>
  <c r="GJ95" i="1"/>
  <c r="GK95" i="1"/>
  <c r="GL95" i="1"/>
  <c r="GM95" i="1"/>
  <c r="GN95" i="1"/>
  <c r="GO95" i="1"/>
  <c r="GP95" i="1"/>
  <c r="GQ95" i="1"/>
  <c r="GR95" i="1"/>
  <c r="GS95" i="1"/>
  <c r="GT95" i="1"/>
  <c r="GU95" i="1"/>
  <c r="GV95" i="1"/>
  <c r="GW95" i="1"/>
  <c r="GX95" i="1"/>
  <c r="D98" i="1"/>
  <c r="I98" i="1"/>
  <c r="K98" i="1"/>
  <c r="P98" i="1"/>
  <c r="CP98" i="1" s="1"/>
  <c r="O98" i="1" s="1"/>
  <c r="S98" i="1"/>
  <c r="CZ98" i="1" s="1"/>
  <c r="Y98" i="1" s="1"/>
  <c r="AC98" i="1"/>
  <c r="AD98" i="1"/>
  <c r="AE98" i="1"/>
  <c r="Q98" i="1" s="1"/>
  <c r="AF98" i="1"/>
  <c r="AG98" i="1"/>
  <c r="AH98" i="1"/>
  <c r="CV98" i="1" s="1"/>
  <c r="U98" i="1" s="1"/>
  <c r="AI98" i="1"/>
  <c r="AJ98" i="1"/>
  <c r="CQ98" i="1"/>
  <c r="CR98" i="1"/>
  <c r="CS98" i="1"/>
  <c r="CT98" i="1"/>
  <c r="CU98" i="1"/>
  <c r="T98" i="1" s="1"/>
  <c r="CW98" i="1"/>
  <c r="V98" i="1" s="1"/>
  <c r="CX98" i="1"/>
  <c r="W98" i="1" s="1"/>
  <c r="CY98" i="1"/>
  <c r="X98" i="1" s="1"/>
  <c r="FR98" i="1"/>
  <c r="GL98" i="1"/>
  <c r="GO98" i="1"/>
  <c r="GP98" i="1"/>
  <c r="GV98" i="1"/>
  <c r="HC98" i="1"/>
  <c r="GX98" i="1" s="1"/>
  <c r="C99" i="1"/>
  <c r="D99" i="1"/>
  <c r="I99" i="1"/>
  <c r="K99" i="1"/>
  <c r="R99" i="1"/>
  <c r="S99" i="1"/>
  <c r="W99" i="1"/>
  <c r="AC99" i="1"/>
  <c r="AE99" i="1"/>
  <c r="AD99" i="1" s="1"/>
  <c r="AF99" i="1"/>
  <c r="AG99" i="1"/>
  <c r="CU99" i="1" s="1"/>
  <c r="T99" i="1" s="1"/>
  <c r="AH99" i="1"/>
  <c r="AI99" i="1"/>
  <c r="AJ99" i="1"/>
  <c r="CR99" i="1"/>
  <c r="CS99" i="1"/>
  <c r="CT99" i="1"/>
  <c r="CV99" i="1"/>
  <c r="U99" i="1" s="1"/>
  <c r="CW99" i="1"/>
  <c r="V99" i="1" s="1"/>
  <c r="CX99" i="1"/>
  <c r="FR99" i="1"/>
  <c r="GK99" i="1"/>
  <c r="GL99" i="1"/>
  <c r="GO99" i="1"/>
  <c r="GP99" i="1"/>
  <c r="GV99" i="1"/>
  <c r="HC99" i="1"/>
  <c r="GX99" i="1" s="1"/>
  <c r="C100" i="1"/>
  <c r="D100" i="1"/>
  <c r="I100" i="1"/>
  <c r="K100" i="1"/>
  <c r="V100" i="1"/>
  <c r="AC100" i="1"/>
  <c r="P100" i="1" s="1"/>
  <c r="AE100" i="1"/>
  <c r="AF100" i="1"/>
  <c r="AG100" i="1"/>
  <c r="AH100" i="1"/>
  <c r="AI100" i="1"/>
  <c r="AJ100" i="1"/>
  <c r="CX100" i="1" s="1"/>
  <c r="W100" i="1" s="1"/>
  <c r="CQ100" i="1"/>
  <c r="CR100" i="1"/>
  <c r="CS100" i="1"/>
  <c r="CU100" i="1"/>
  <c r="T100" i="1" s="1"/>
  <c r="CV100" i="1"/>
  <c r="U100" i="1" s="1"/>
  <c r="CW100" i="1"/>
  <c r="FR100" i="1"/>
  <c r="GL100" i="1"/>
  <c r="GO100" i="1"/>
  <c r="GP100" i="1"/>
  <c r="GV100" i="1"/>
  <c r="HC100" i="1" s="1"/>
  <c r="GX100" i="1" s="1"/>
  <c r="D101" i="1"/>
  <c r="I101" i="1"/>
  <c r="R101" i="1" s="1"/>
  <c r="GK101" i="1" s="1"/>
  <c r="K101" i="1"/>
  <c r="U101" i="1"/>
  <c r="AB101" i="1"/>
  <c r="AC101" i="1"/>
  <c r="P101" i="1" s="1"/>
  <c r="AE101" i="1"/>
  <c r="AD101" i="1" s="1"/>
  <c r="AF101" i="1"/>
  <c r="AG101" i="1"/>
  <c r="AH101" i="1"/>
  <c r="AI101" i="1"/>
  <c r="AJ101" i="1"/>
  <c r="CX101" i="1" s="1"/>
  <c r="CQ101" i="1"/>
  <c r="CR101" i="1"/>
  <c r="CS101" i="1"/>
  <c r="CU101" i="1"/>
  <c r="CV101" i="1"/>
  <c r="CW101" i="1"/>
  <c r="V101" i="1" s="1"/>
  <c r="FR101" i="1"/>
  <c r="GL101" i="1"/>
  <c r="GO101" i="1"/>
  <c r="GP101" i="1"/>
  <c r="GV101" i="1"/>
  <c r="HC101" i="1"/>
  <c r="GX101" i="1" s="1"/>
  <c r="C102" i="1"/>
  <c r="D102" i="1"/>
  <c r="I102" i="1"/>
  <c r="K102" i="1"/>
  <c r="R102" i="1"/>
  <c r="GK102" i="1" s="1"/>
  <c r="AC102" i="1"/>
  <c r="P102" i="1" s="1"/>
  <c r="CP102" i="1" s="1"/>
  <c r="O102" i="1" s="1"/>
  <c r="AE102" i="1"/>
  <c r="Q102" i="1" s="1"/>
  <c r="AF102" i="1"/>
  <c r="S102" i="1" s="1"/>
  <c r="AG102" i="1"/>
  <c r="CU102" i="1" s="1"/>
  <c r="T102" i="1" s="1"/>
  <c r="AH102" i="1"/>
  <c r="AI102" i="1"/>
  <c r="AJ102" i="1"/>
  <c r="CX102" i="1" s="1"/>
  <c r="W102" i="1" s="1"/>
  <c r="CR102" i="1"/>
  <c r="CS102" i="1"/>
  <c r="CV102" i="1"/>
  <c r="U102" i="1" s="1"/>
  <c r="CW102" i="1"/>
  <c r="V102" i="1" s="1"/>
  <c r="FR102" i="1"/>
  <c r="GL102" i="1"/>
  <c r="GO102" i="1"/>
  <c r="GP102" i="1"/>
  <c r="GV102" i="1"/>
  <c r="HC102" i="1" s="1"/>
  <c r="GX102" i="1" s="1"/>
  <c r="C103" i="1"/>
  <c r="D103" i="1"/>
  <c r="R103" i="1"/>
  <c r="S103" i="1"/>
  <c r="CY103" i="1" s="1"/>
  <c r="X103" i="1" s="1"/>
  <c r="AC103" i="1"/>
  <c r="AB103" i="1" s="1"/>
  <c r="AD103" i="1"/>
  <c r="AE103" i="1"/>
  <c r="Q103" i="1" s="1"/>
  <c r="AF103" i="1"/>
  <c r="AG103" i="1"/>
  <c r="CU103" i="1" s="1"/>
  <c r="T103" i="1" s="1"/>
  <c r="AH103" i="1"/>
  <c r="CV103" i="1" s="1"/>
  <c r="U103" i="1" s="1"/>
  <c r="AI103" i="1"/>
  <c r="AJ103" i="1"/>
  <c r="CR103" i="1"/>
  <c r="CS103" i="1"/>
  <c r="CT103" i="1"/>
  <c r="CW103" i="1"/>
  <c r="V103" i="1" s="1"/>
  <c r="CX103" i="1"/>
  <c r="W103" i="1" s="1"/>
  <c r="FR103" i="1"/>
  <c r="GK103" i="1"/>
  <c r="GL103" i="1"/>
  <c r="GO103" i="1"/>
  <c r="GP103" i="1"/>
  <c r="GV103" i="1"/>
  <c r="HC103" i="1"/>
  <c r="GX103" i="1" s="1"/>
  <c r="C105" i="1"/>
  <c r="D105" i="1"/>
  <c r="I105" i="1"/>
  <c r="CX101" i="3" s="1"/>
  <c r="K105" i="1"/>
  <c r="R105" i="1"/>
  <c r="GK105" i="1" s="1"/>
  <c r="AC105" i="1"/>
  <c r="P105" i="1" s="1"/>
  <c r="CP105" i="1" s="1"/>
  <c r="O105" i="1" s="1"/>
  <c r="AE105" i="1"/>
  <c r="Q105" i="1" s="1"/>
  <c r="AF105" i="1"/>
  <c r="S105" i="1" s="1"/>
  <c r="AG105" i="1"/>
  <c r="CU105" i="1" s="1"/>
  <c r="T105" i="1" s="1"/>
  <c r="AH105" i="1"/>
  <c r="AI105" i="1"/>
  <c r="AJ105" i="1"/>
  <c r="CX105" i="1" s="1"/>
  <c r="W105" i="1" s="1"/>
  <c r="CR105" i="1"/>
  <c r="CS105" i="1"/>
  <c r="CV105" i="1"/>
  <c r="U105" i="1" s="1"/>
  <c r="CW105" i="1"/>
  <c r="V105" i="1" s="1"/>
  <c r="FR105" i="1"/>
  <c r="GL105" i="1"/>
  <c r="GO105" i="1"/>
  <c r="GP105" i="1"/>
  <c r="GV105" i="1"/>
  <c r="HC105" i="1" s="1"/>
  <c r="GX105" i="1" s="1"/>
  <c r="AC106" i="1"/>
  <c r="AB106" i="1" s="1"/>
  <c r="AD106" i="1"/>
  <c r="AE106" i="1"/>
  <c r="AF106" i="1"/>
  <c r="AG106" i="1"/>
  <c r="AH106" i="1"/>
  <c r="CV106" i="1" s="1"/>
  <c r="AI106" i="1"/>
  <c r="AJ106" i="1"/>
  <c r="CQ106" i="1"/>
  <c r="CR106" i="1"/>
  <c r="CS106" i="1"/>
  <c r="CT106" i="1"/>
  <c r="CU106" i="1"/>
  <c r="CW106" i="1"/>
  <c r="CX106" i="1"/>
  <c r="FR106" i="1"/>
  <c r="GL106" i="1"/>
  <c r="GO106" i="1"/>
  <c r="GP106" i="1"/>
  <c r="GV106" i="1"/>
  <c r="HC106" i="1"/>
  <c r="C107" i="1"/>
  <c r="D107" i="1"/>
  <c r="I107" i="1"/>
  <c r="CX104" i="3" s="1"/>
  <c r="K107" i="1"/>
  <c r="R107" i="1"/>
  <c r="S107" i="1"/>
  <c r="CY107" i="1" s="1"/>
  <c r="X107" i="1" s="1"/>
  <c r="AC107" i="1"/>
  <c r="AB107" i="1" s="1"/>
  <c r="AE107" i="1"/>
  <c r="AD107" i="1" s="1"/>
  <c r="AF107" i="1"/>
  <c r="AG107" i="1"/>
  <c r="CU107" i="1" s="1"/>
  <c r="T107" i="1" s="1"/>
  <c r="AH107" i="1"/>
  <c r="AI107" i="1"/>
  <c r="AJ107" i="1"/>
  <c r="CR107" i="1"/>
  <c r="CS107" i="1"/>
  <c r="CT107" i="1"/>
  <c r="CV107" i="1"/>
  <c r="U107" i="1" s="1"/>
  <c r="CW107" i="1"/>
  <c r="V107" i="1" s="1"/>
  <c r="CX107" i="1"/>
  <c r="W107" i="1" s="1"/>
  <c r="FR107" i="1"/>
  <c r="GK107" i="1"/>
  <c r="GL107" i="1"/>
  <c r="GO107" i="1"/>
  <c r="GP107" i="1"/>
  <c r="GV107" i="1"/>
  <c r="HC107" i="1"/>
  <c r="GX107" i="1" s="1"/>
  <c r="I108" i="1"/>
  <c r="P108" i="1"/>
  <c r="S108" i="1"/>
  <c r="AC108" i="1"/>
  <c r="AE108" i="1"/>
  <c r="AD108" i="1" s="1"/>
  <c r="AF108" i="1"/>
  <c r="AG108" i="1"/>
  <c r="AH108" i="1"/>
  <c r="AI108" i="1"/>
  <c r="CW108" i="1" s="1"/>
  <c r="V108" i="1" s="1"/>
  <c r="AJ108" i="1"/>
  <c r="CQ108" i="1"/>
  <c r="CR108" i="1"/>
  <c r="CT108" i="1"/>
  <c r="CU108" i="1"/>
  <c r="T108" i="1" s="1"/>
  <c r="CV108" i="1"/>
  <c r="U108" i="1" s="1"/>
  <c r="CX108" i="1"/>
  <c r="W108" i="1" s="1"/>
  <c r="CY108" i="1"/>
  <c r="X108" i="1" s="1"/>
  <c r="CZ108" i="1"/>
  <c r="Y108" i="1" s="1"/>
  <c r="FR108" i="1"/>
  <c r="GL108" i="1"/>
  <c r="GO108" i="1"/>
  <c r="GP108" i="1"/>
  <c r="GV108" i="1"/>
  <c r="HC108" i="1" s="1"/>
  <c r="GX108" i="1" s="1"/>
  <c r="I109" i="1"/>
  <c r="Q109" i="1" s="1"/>
  <c r="R109" i="1"/>
  <c r="S109" i="1"/>
  <c r="CY109" i="1" s="1"/>
  <c r="X109" i="1" s="1"/>
  <c r="AC109" i="1"/>
  <c r="AB109" i="1" s="1"/>
  <c r="AE109" i="1"/>
  <c r="AD109" i="1" s="1"/>
  <c r="AF109" i="1"/>
  <c r="AG109" i="1"/>
  <c r="CU109" i="1" s="1"/>
  <c r="T109" i="1" s="1"/>
  <c r="AH109" i="1"/>
  <c r="AI109" i="1"/>
  <c r="AJ109" i="1"/>
  <c r="CR109" i="1"/>
  <c r="CS109" i="1"/>
  <c r="CT109" i="1"/>
  <c r="CV109" i="1"/>
  <c r="U109" i="1" s="1"/>
  <c r="CW109" i="1"/>
  <c r="V109" i="1" s="1"/>
  <c r="CX109" i="1"/>
  <c r="W109" i="1" s="1"/>
  <c r="FR109" i="1"/>
  <c r="GK109" i="1"/>
  <c r="GL109" i="1"/>
  <c r="GO109" i="1"/>
  <c r="GP109" i="1"/>
  <c r="GV109" i="1"/>
  <c r="HC109" i="1"/>
  <c r="GX109" i="1" s="1"/>
  <c r="I110" i="1"/>
  <c r="P110" i="1"/>
  <c r="S110" i="1"/>
  <c r="AC110" i="1"/>
  <c r="AB110" i="1" s="1"/>
  <c r="AE110" i="1"/>
  <c r="AD110" i="1" s="1"/>
  <c r="AF110" i="1"/>
  <c r="AG110" i="1"/>
  <c r="AH110" i="1"/>
  <c r="AI110" i="1"/>
  <c r="CW110" i="1" s="1"/>
  <c r="V110" i="1" s="1"/>
  <c r="AJ110" i="1"/>
  <c r="CQ110" i="1"/>
  <c r="CR110" i="1"/>
  <c r="CT110" i="1"/>
  <c r="CU110" i="1"/>
  <c r="T110" i="1" s="1"/>
  <c r="CV110" i="1"/>
  <c r="U110" i="1" s="1"/>
  <c r="CX110" i="1"/>
  <c r="W110" i="1" s="1"/>
  <c r="CY110" i="1"/>
  <c r="X110" i="1" s="1"/>
  <c r="CZ110" i="1"/>
  <c r="Y110" i="1" s="1"/>
  <c r="FR110" i="1"/>
  <c r="GL110" i="1"/>
  <c r="GO110" i="1"/>
  <c r="GP110" i="1"/>
  <c r="GV110" i="1"/>
  <c r="HC110" i="1" s="1"/>
  <c r="GX110" i="1" s="1"/>
  <c r="C111" i="1"/>
  <c r="D111" i="1"/>
  <c r="I111" i="1"/>
  <c r="K111" i="1"/>
  <c r="P111" i="1"/>
  <c r="CP111" i="1" s="1"/>
  <c r="O111" i="1" s="1"/>
  <c r="GM111" i="1" s="1"/>
  <c r="GN111" i="1" s="1"/>
  <c r="R111" i="1"/>
  <c r="S111" i="1"/>
  <c r="CZ111" i="1" s="1"/>
  <c r="Y111" i="1" s="1"/>
  <c r="AC111" i="1"/>
  <c r="AB111" i="1" s="1"/>
  <c r="AD111" i="1"/>
  <c r="AE111" i="1"/>
  <c r="Q111" i="1" s="1"/>
  <c r="AF111" i="1"/>
  <c r="AG111" i="1"/>
  <c r="AH111" i="1"/>
  <c r="CV111" i="1" s="1"/>
  <c r="U111" i="1" s="1"/>
  <c r="AI111" i="1"/>
  <c r="AJ111" i="1"/>
  <c r="CQ111" i="1"/>
  <c r="CR111" i="1"/>
  <c r="CS111" i="1"/>
  <c r="CT111" i="1"/>
  <c r="CU111" i="1"/>
  <c r="T111" i="1" s="1"/>
  <c r="CW111" i="1"/>
  <c r="V111" i="1" s="1"/>
  <c r="CX111" i="1"/>
  <c r="W111" i="1" s="1"/>
  <c r="CY111" i="1"/>
  <c r="X111" i="1" s="1"/>
  <c r="FR111" i="1"/>
  <c r="GK111" i="1"/>
  <c r="GL111" i="1"/>
  <c r="GO111" i="1"/>
  <c r="GP111" i="1"/>
  <c r="GV111" i="1"/>
  <c r="HC111" i="1"/>
  <c r="GX111" i="1" s="1"/>
  <c r="I112" i="1"/>
  <c r="Q112" i="1" s="1"/>
  <c r="R112" i="1"/>
  <c r="GK112" i="1" s="1"/>
  <c r="AC112" i="1"/>
  <c r="AE112" i="1"/>
  <c r="AD112" i="1" s="1"/>
  <c r="AB112" i="1" s="1"/>
  <c r="AF112" i="1"/>
  <c r="S112" i="1" s="1"/>
  <c r="AG112" i="1"/>
  <c r="AH112" i="1"/>
  <c r="AI112" i="1"/>
  <c r="AJ112" i="1"/>
  <c r="CX112" i="1" s="1"/>
  <c r="W112" i="1" s="1"/>
  <c r="CQ112" i="1"/>
  <c r="CR112" i="1"/>
  <c r="CS112" i="1"/>
  <c r="CU112" i="1"/>
  <c r="T112" i="1" s="1"/>
  <c r="CV112" i="1"/>
  <c r="U112" i="1" s="1"/>
  <c r="CW112" i="1"/>
  <c r="V112" i="1" s="1"/>
  <c r="FR112" i="1"/>
  <c r="GL112" i="1"/>
  <c r="GO112" i="1"/>
  <c r="GP112" i="1"/>
  <c r="GV112" i="1"/>
  <c r="HC112" i="1" s="1"/>
  <c r="GX112" i="1" s="1"/>
  <c r="I113" i="1"/>
  <c r="Q113" i="1" s="1"/>
  <c r="P113" i="1"/>
  <c r="CP113" i="1" s="1"/>
  <c r="O113" i="1" s="1"/>
  <c r="R113" i="1"/>
  <c r="S113" i="1"/>
  <c r="CZ113" i="1" s="1"/>
  <c r="Y113" i="1" s="1"/>
  <c r="AC113" i="1"/>
  <c r="AB113" i="1" s="1"/>
  <c r="AD113" i="1"/>
  <c r="AE113" i="1"/>
  <c r="AF113" i="1"/>
  <c r="AG113" i="1"/>
  <c r="AH113" i="1"/>
  <c r="CV113" i="1" s="1"/>
  <c r="U113" i="1" s="1"/>
  <c r="AI113" i="1"/>
  <c r="AJ113" i="1"/>
  <c r="CQ113" i="1"/>
  <c r="CR113" i="1"/>
  <c r="CS113" i="1"/>
  <c r="CT113" i="1"/>
  <c r="CU113" i="1"/>
  <c r="T113" i="1" s="1"/>
  <c r="CW113" i="1"/>
  <c r="V113" i="1" s="1"/>
  <c r="CX113" i="1"/>
  <c r="W113" i="1" s="1"/>
  <c r="CY113" i="1"/>
  <c r="X113" i="1" s="1"/>
  <c r="FR113" i="1"/>
  <c r="GK113" i="1"/>
  <c r="GL113" i="1"/>
  <c r="GO113" i="1"/>
  <c r="GP113" i="1"/>
  <c r="GV113" i="1"/>
  <c r="HC113" i="1"/>
  <c r="GX113" i="1" s="1"/>
  <c r="I114" i="1"/>
  <c r="Q114" i="1" s="1"/>
  <c r="R114" i="1"/>
  <c r="GK114" i="1" s="1"/>
  <c r="AC114" i="1"/>
  <c r="AE114" i="1"/>
  <c r="AD114" i="1" s="1"/>
  <c r="AB114" i="1" s="1"/>
  <c r="AF114" i="1"/>
  <c r="S114" i="1" s="1"/>
  <c r="AG114" i="1"/>
  <c r="AH114" i="1"/>
  <c r="AI114" i="1"/>
  <c r="AJ114" i="1"/>
  <c r="CX114" i="1" s="1"/>
  <c r="W114" i="1" s="1"/>
  <c r="CQ114" i="1"/>
  <c r="CR114" i="1"/>
  <c r="CS114" i="1"/>
  <c r="CU114" i="1"/>
  <c r="T114" i="1" s="1"/>
  <c r="CV114" i="1"/>
  <c r="U114" i="1" s="1"/>
  <c r="CW114" i="1"/>
  <c r="V114" i="1" s="1"/>
  <c r="FR114" i="1"/>
  <c r="GL114" i="1"/>
  <c r="GO114" i="1"/>
  <c r="GP114" i="1"/>
  <c r="GV114" i="1"/>
  <c r="HC114" i="1" s="1"/>
  <c r="GX114" i="1" s="1"/>
  <c r="C115" i="1"/>
  <c r="D115" i="1"/>
  <c r="I115" i="1"/>
  <c r="I117" i="1" s="1"/>
  <c r="K115" i="1"/>
  <c r="AC115" i="1"/>
  <c r="AB115" i="1" s="1"/>
  <c r="AE115" i="1"/>
  <c r="AD115" i="1" s="1"/>
  <c r="AF115" i="1"/>
  <c r="AG115" i="1"/>
  <c r="AH115" i="1"/>
  <c r="AI115" i="1"/>
  <c r="CW115" i="1" s="1"/>
  <c r="V115" i="1" s="1"/>
  <c r="AJ115" i="1"/>
  <c r="CQ115" i="1"/>
  <c r="CR115" i="1"/>
  <c r="CT115" i="1"/>
  <c r="CU115" i="1"/>
  <c r="T115" i="1" s="1"/>
  <c r="CV115" i="1"/>
  <c r="U115" i="1" s="1"/>
  <c r="CX115" i="1"/>
  <c r="W115" i="1" s="1"/>
  <c r="FR115" i="1"/>
  <c r="GL115" i="1"/>
  <c r="GO115" i="1"/>
  <c r="GP115" i="1"/>
  <c r="GV115" i="1"/>
  <c r="HC115" i="1" s="1"/>
  <c r="GX115" i="1" s="1"/>
  <c r="AC116" i="1"/>
  <c r="AE116" i="1"/>
  <c r="AD116" i="1" s="1"/>
  <c r="AF116" i="1"/>
  <c r="AG116" i="1"/>
  <c r="CU116" i="1" s="1"/>
  <c r="AH116" i="1"/>
  <c r="AI116" i="1"/>
  <c r="AJ116" i="1"/>
  <c r="CR116" i="1"/>
  <c r="CS116" i="1"/>
  <c r="CT116" i="1"/>
  <c r="CV116" i="1"/>
  <c r="CW116" i="1"/>
  <c r="CX116" i="1"/>
  <c r="FR116" i="1"/>
  <c r="GL116" i="1"/>
  <c r="GO116" i="1"/>
  <c r="GP116" i="1"/>
  <c r="GV116" i="1"/>
  <c r="HC116" i="1"/>
  <c r="AC117" i="1"/>
  <c r="AE117" i="1"/>
  <c r="AD117" i="1" s="1"/>
  <c r="AF117" i="1"/>
  <c r="AG117" i="1"/>
  <c r="AH117" i="1"/>
  <c r="AI117" i="1"/>
  <c r="CW117" i="1" s="1"/>
  <c r="V117" i="1" s="1"/>
  <c r="AJ117" i="1"/>
  <c r="CQ117" i="1"/>
  <c r="CR117" i="1"/>
  <c r="CT117" i="1"/>
  <c r="CU117" i="1"/>
  <c r="T117" i="1" s="1"/>
  <c r="CV117" i="1"/>
  <c r="CX117" i="1"/>
  <c r="FR117" i="1"/>
  <c r="GL117" i="1"/>
  <c r="GO117" i="1"/>
  <c r="GP117" i="1"/>
  <c r="GV117" i="1"/>
  <c r="HC117" i="1" s="1"/>
  <c r="GX117" i="1" s="1"/>
  <c r="AC118" i="1"/>
  <c r="AB118" i="1" s="1"/>
  <c r="AE118" i="1"/>
  <c r="AD118" i="1" s="1"/>
  <c r="AF118" i="1"/>
  <c r="AG118" i="1"/>
  <c r="CU118" i="1" s="1"/>
  <c r="AH118" i="1"/>
  <c r="AI118" i="1"/>
  <c r="AJ118" i="1"/>
  <c r="CR118" i="1"/>
  <c r="CS118" i="1"/>
  <c r="CT118" i="1"/>
  <c r="CV118" i="1"/>
  <c r="CW118" i="1"/>
  <c r="CX118" i="1"/>
  <c r="FR118" i="1"/>
  <c r="GL118" i="1"/>
  <c r="GO118" i="1"/>
  <c r="GP118" i="1"/>
  <c r="GV118" i="1"/>
  <c r="HC118" i="1"/>
  <c r="C119" i="1"/>
  <c r="D119" i="1"/>
  <c r="I119" i="1"/>
  <c r="P119" i="1" s="1"/>
  <c r="K119" i="1"/>
  <c r="R119" i="1"/>
  <c r="GK119" i="1" s="1"/>
  <c r="AC119" i="1"/>
  <c r="AE119" i="1"/>
  <c r="Q119" i="1" s="1"/>
  <c r="AF119" i="1"/>
  <c r="S119" i="1" s="1"/>
  <c r="AG119" i="1"/>
  <c r="AH119" i="1"/>
  <c r="AI119" i="1"/>
  <c r="AJ119" i="1"/>
  <c r="CX119" i="1" s="1"/>
  <c r="W119" i="1" s="1"/>
  <c r="CQ119" i="1"/>
  <c r="CR119" i="1"/>
  <c r="CS119" i="1"/>
  <c r="CU119" i="1"/>
  <c r="T119" i="1" s="1"/>
  <c r="CV119" i="1"/>
  <c r="U119" i="1" s="1"/>
  <c r="CW119" i="1"/>
  <c r="V119" i="1" s="1"/>
  <c r="FR119" i="1"/>
  <c r="GL119" i="1"/>
  <c r="GO119" i="1"/>
  <c r="GP119" i="1"/>
  <c r="GV119" i="1"/>
  <c r="HC119" i="1" s="1"/>
  <c r="GX119" i="1" s="1"/>
  <c r="AC120" i="1"/>
  <c r="AB120" i="1" s="1"/>
  <c r="AD120" i="1"/>
  <c r="AE120" i="1"/>
  <c r="AF120" i="1"/>
  <c r="AG120" i="1"/>
  <c r="AH120" i="1"/>
  <c r="CV120" i="1" s="1"/>
  <c r="AI120" i="1"/>
  <c r="AJ120" i="1"/>
  <c r="CQ120" i="1"/>
  <c r="CR120" i="1"/>
  <c r="CS120" i="1"/>
  <c r="CT120" i="1"/>
  <c r="CU120" i="1"/>
  <c r="CW120" i="1"/>
  <c r="CX120" i="1"/>
  <c r="FR120" i="1"/>
  <c r="GL120" i="1"/>
  <c r="GO120" i="1"/>
  <c r="GP120" i="1"/>
  <c r="GV120" i="1"/>
  <c r="HC120" i="1"/>
  <c r="I121" i="1"/>
  <c r="Q121" i="1" s="1"/>
  <c r="R121" i="1"/>
  <c r="GK121" i="1" s="1"/>
  <c r="AC121" i="1"/>
  <c r="AE121" i="1"/>
  <c r="AD121" i="1" s="1"/>
  <c r="AB121" i="1" s="1"/>
  <c r="AF121" i="1"/>
  <c r="S121" i="1" s="1"/>
  <c r="AG121" i="1"/>
  <c r="AH121" i="1"/>
  <c r="AI121" i="1"/>
  <c r="AJ121" i="1"/>
  <c r="CX121" i="1" s="1"/>
  <c r="W121" i="1" s="1"/>
  <c r="CQ121" i="1"/>
  <c r="CR121" i="1"/>
  <c r="CS121" i="1"/>
  <c r="CU121" i="1"/>
  <c r="T121" i="1" s="1"/>
  <c r="CV121" i="1"/>
  <c r="U121" i="1" s="1"/>
  <c r="CW121" i="1"/>
  <c r="V121" i="1" s="1"/>
  <c r="FR121" i="1"/>
  <c r="GL121" i="1"/>
  <c r="GO121" i="1"/>
  <c r="GP121" i="1"/>
  <c r="GV121" i="1"/>
  <c r="HC121" i="1" s="1"/>
  <c r="GX121" i="1" s="1"/>
  <c r="C122" i="1"/>
  <c r="D122" i="1"/>
  <c r="I122" i="1"/>
  <c r="I124" i="1" s="1"/>
  <c r="K122" i="1"/>
  <c r="AC122" i="1"/>
  <c r="AB122" i="1" s="1"/>
  <c r="AE122" i="1"/>
  <c r="AD122" i="1" s="1"/>
  <c r="AF122" i="1"/>
  <c r="AG122" i="1"/>
  <c r="AH122" i="1"/>
  <c r="AI122" i="1"/>
  <c r="CW122" i="1" s="1"/>
  <c r="V122" i="1" s="1"/>
  <c r="AJ122" i="1"/>
  <c r="CQ122" i="1"/>
  <c r="CR122" i="1"/>
  <c r="CT122" i="1"/>
  <c r="CU122" i="1"/>
  <c r="T122" i="1" s="1"/>
  <c r="CV122" i="1"/>
  <c r="U122" i="1" s="1"/>
  <c r="CX122" i="1"/>
  <c r="W122" i="1" s="1"/>
  <c r="FR122" i="1"/>
  <c r="GL122" i="1"/>
  <c r="GO122" i="1"/>
  <c r="GP122" i="1"/>
  <c r="GV122" i="1"/>
  <c r="HC122" i="1" s="1"/>
  <c r="GX122" i="1" s="1"/>
  <c r="AC123" i="1"/>
  <c r="AB123" i="1" s="1"/>
  <c r="AE123" i="1"/>
  <c r="AD123" i="1" s="1"/>
  <c r="AF123" i="1"/>
  <c r="AG123" i="1"/>
  <c r="CU123" i="1" s="1"/>
  <c r="AH123" i="1"/>
  <c r="AI123" i="1"/>
  <c r="AJ123" i="1"/>
  <c r="CR123" i="1"/>
  <c r="CS123" i="1"/>
  <c r="CT123" i="1"/>
  <c r="CV123" i="1"/>
  <c r="CW123" i="1"/>
  <c r="CX123" i="1"/>
  <c r="FR123" i="1"/>
  <c r="GL123" i="1"/>
  <c r="GO123" i="1"/>
  <c r="GP123" i="1"/>
  <c r="GV123" i="1"/>
  <c r="HC123" i="1"/>
  <c r="AC124" i="1"/>
  <c r="AB124" i="1" s="1"/>
  <c r="AE124" i="1"/>
  <c r="AD124" i="1" s="1"/>
  <c r="AF124" i="1"/>
  <c r="AG124" i="1"/>
  <c r="AH124" i="1"/>
  <c r="AI124" i="1"/>
  <c r="CW124" i="1" s="1"/>
  <c r="V124" i="1" s="1"/>
  <c r="AJ124" i="1"/>
  <c r="CQ124" i="1"/>
  <c r="CR124" i="1"/>
  <c r="CT124" i="1"/>
  <c r="CU124" i="1"/>
  <c r="CV124" i="1"/>
  <c r="U124" i="1" s="1"/>
  <c r="CX124" i="1"/>
  <c r="W124" i="1" s="1"/>
  <c r="FR124" i="1"/>
  <c r="GL124" i="1"/>
  <c r="GO124" i="1"/>
  <c r="GP124" i="1"/>
  <c r="GV124" i="1"/>
  <c r="HC124" i="1" s="1"/>
  <c r="GX124" i="1" s="1"/>
  <c r="AC125" i="1"/>
  <c r="AE125" i="1"/>
  <c r="AD125" i="1" s="1"/>
  <c r="AF125" i="1"/>
  <c r="AG125" i="1"/>
  <c r="CU125" i="1" s="1"/>
  <c r="AH125" i="1"/>
  <c r="AI125" i="1"/>
  <c r="AJ125" i="1"/>
  <c r="CR125" i="1"/>
  <c r="CS125" i="1"/>
  <c r="CT125" i="1"/>
  <c r="CV125" i="1"/>
  <c r="CW125" i="1"/>
  <c r="CX125" i="1"/>
  <c r="FR125" i="1"/>
  <c r="GL125" i="1"/>
  <c r="GO125" i="1"/>
  <c r="GP125" i="1"/>
  <c r="GV125" i="1"/>
  <c r="HC125" i="1"/>
  <c r="C126" i="1"/>
  <c r="D126" i="1"/>
  <c r="I126" i="1"/>
  <c r="P126" i="1" s="1"/>
  <c r="K126" i="1"/>
  <c r="R126" i="1"/>
  <c r="GK126" i="1" s="1"/>
  <c r="AC126" i="1"/>
  <c r="AE126" i="1"/>
  <c r="Q126" i="1" s="1"/>
  <c r="AF126" i="1"/>
  <c r="S126" i="1" s="1"/>
  <c r="AG126" i="1"/>
  <c r="AH126" i="1"/>
  <c r="AI126" i="1"/>
  <c r="AJ126" i="1"/>
  <c r="CX126" i="1" s="1"/>
  <c r="W126" i="1" s="1"/>
  <c r="CQ126" i="1"/>
  <c r="CR126" i="1"/>
  <c r="CS126" i="1"/>
  <c r="CU126" i="1"/>
  <c r="T126" i="1" s="1"/>
  <c r="CV126" i="1"/>
  <c r="U126" i="1" s="1"/>
  <c r="CW126" i="1"/>
  <c r="V126" i="1" s="1"/>
  <c r="FR126" i="1"/>
  <c r="GL126" i="1"/>
  <c r="GO126" i="1"/>
  <c r="GP126" i="1"/>
  <c r="GV126" i="1"/>
  <c r="HC126" i="1" s="1"/>
  <c r="GX126" i="1" s="1"/>
  <c r="AC127" i="1"/>
  <c r="AB127" i="1" s="1"/>
  <c r="AD127" i="1"/>
  <c r="AE127" i="1"/>
  <c r="AF127" i="1"/>
  <c r="AG127" i="1"/>
  <c r="AH127" i="1"/>
  <c r="CV127" i="1" s="1"/>
  <c r="AI127" i="1"/>
  <c r="AJ127" i="1"/>
  <c r="CQ127" i="1"/>
  <c r="CR127" i="1"/>
  <c r="CS127" i="1"/>
  <c r="CT127" i="1"/>
  <c r="CU127" i="1"/>
  <c r="CW127" i="1"/>
  <c r="CX127" i="1"/>
  <c r="FR127" i="1"/>
  <c r="GL127" i="1"/>
  <c r="GO127" i="1"/>
  <c r="GP127" i="1"/>
  <c r="GV127" i="1"/>
  <c r="HC127" i="1"/>
  <c r="C129" i="1"/>
  <c r="D129" i="1"/>
  <c r="I129" i="1"/>
  <c r="K129" i="1"/>
  <c r="R129" i="1"/>
  <c r="S129" i="1"/>
  <c r="CY129" i="1" s="1"/>
  <c r="X129" i="1" s="1"/>
  <c r="W129" i="1"/>
  <c r="AC129" i="1"/>
  <c r="AE129" i="1"/>
  <c r="AD129" i="1" s="1"/>
  <c r="AF129" i="1"/>
  <c r="AG129" i="1"/>
  <c r="CU129" i="1" s="1"/>
  <c r="T129" i="1" s="1"/>
  <c r="AH129" i="1"/>
  <c r="AI129" i="1"/>
  <c r="AJ129" i="1"/>
  <c r="CR129" i="1"/>
  <c r="CS129" i="1"/>
  <c r="CT129" i="1"/>
  <c r="CV129" i="1"/>
  <c r="U129" i="1" s="1"/>
  <c r="CW129" i="1"/>
  <c r="V129" i="1" s="1"/>
  <c r="CX129" i="1"/>
  <c r="FR129" i="1"/>
  <c r="GK129" i="1"/>
  <c r="GL129" i="1"/>
  <c r="GO129" i="1"/>
  <c r="GP129" i="1"/>
  <c r="GV129" i="1"/>
  <c r="HC129" i="1"/>
  <c r="GX129" i="1" s="1"/>
  <c r="AC130" i="1"/>
  <c r="AE130" i="1"/>
  <c r="AF130" i="1"/>
  <c r="AG130" i="1"/>
  <c r="AH130" i="1"/>
  <c r="AI130" i="1"/>
  <c r="CW130" i="1" s="1"/>
  <c r="AJ130" i="1"/>
  <c r="CQ130" i="1"/>
  <c r="CR130" i="1"/>
  <c r="CT130" i="1"/>
  <c r="CU130" i="1"/>
  <c r="CV130" i="1"/>
  <c r="CX130" i="1"/>
  <c r="FR130" i="1"/>
  <c r="GL130" i="1"/>
  <c r="GO130" i="1"/>
  <c r="GP130" i="1"/>
  <c r="GV130" i="1"/>
  <c r="HC130" i="1" s="1"/>
  <c r="I131" i="1"/>
  <c r="Q131" i="1" s="1"/>
  <c r="R131" i="1"/>
  <c r="S131" i="1"/>
  <c r="W131" i="1"/>
  <c r="AC131" i="1"/>
  <c r="AE131" i="1"/>
  <c r="AD131" i="1" s="1"/>
  <c r="AF131" i="1"/>
  <c r="AG131" i="1"/>
  <c r="CU131" i="1" s="1"/>
  <c r="T131" i="1" s="1"/>
  <c r="AH131" i="1"/>
  <c r="AI131" i="1"/>
  <c r="AJ131" i="1"/>
  <c r="CR131" i="1"/>
  <c r="CS131" i="1"/>
  <c r="CT131" i="1"/>
  <c r="CV131" i="1"/>
  <c r="U131" i="1" s="1"/>
  <c r="CW131" i="1"/>
  <c r="V131" i="1" s="1"/>
  <c r="CX131" i="1"/>
  <c r="FR131" i="1"/>
  <c r="GK131" i="1"/>
  <c r="GL131" i="1"/>
  <c r="GO131" i="1"/>
  <c r="GP131" i="1"/>
  <c r="GV131" i="1"/>
  <c r="HC131" i="1"/>
  <c r="GX131" i="1" s="1"/>
  <c r="I132" i="1"/>
  <c r="P132" i="1"/>
  <c r="Q132" i="1"/>
  <c r="S132" i="1"/>
  <c r="Y132" i="1"/>
  <c r="AC132" i="1"/>
  <c r="AE132" i="1"/>
  <c r="AF132" i="1"/>
  <c r="AG132" i="1"/>
  <c r="AH132" i="1"/>
  <c r="AI132" i="1"/>
  <c r="CW132" i="1" s="1"/>
  <c r="V132" i="1" s="1"/>
  <c r="AJ132" i="1"/>
  <c r="CQ132" i="1"/>
  <c r="CR132" i="1"/>
  <c r="CT132" i="1"/>
  <c r="CU132" i="1"/>
  <c r="T132" i="1" s="1"/>
  <c r="CV132" i="1"/>
  <c r="U132" i="1" s="1"/>
  <c r="CX132" i="1"/>
  <c r="W132" i="1" s="1"/>
  <c r="CY132" i="1"/>
  <c r="X132" i="1" s="1"/>
  <c r="CZ132" i="1"/>
  <c r="FR132" i="1"/>
  <c r="GL132" i="1"/>
  <c r="GO132" i="1"/>
  <c r="GP132" i="1"/>
  <c r="GV132" i="1"/>
  <c r="HC132" i="1" s="1"/>
  <c r="GX132" i="1" s="1"/>
  <c r="I133" i="1"/>
  <c r="Q133" i="1" s="1"/>
  <c r="R133" i="1"/>
  <c r="S133" i="1"/>
  <c r="AC133" i="1"/>
  <c r="AE133" i="1"/>
  <c r="AD133" i="1" s="1"/>
  <c r="AF133" i="1"/>
  <c r="AG133" i="1"/>
  <c r="CU133" i="1" s="1"/>
  <c r="T133" i="1" s="1"/>
  <c r="AH133" i="1"/>
  <c r="AI133" i="1"/>
  <c r="AJ133" i="1"/>
  <c r="CR133" i="1"/>
  <c r="CS133" i="1"/>
  <c r="CT133" i="1"/>
  <c r="CV133" i="1"/>
  <c r="U133" i="1" s="1"/>
  <c r="CW133" i="1"/>
  <c r="V133" i="1" s="1"/>
  <c r="CX133" i="1"/>
  <c r="W133" i="1" s="1"/>
  <c r="FR133" i="1"/>
  <c r="GK133" i="1"/>
  <c r="GL133" i="1"/>
  <c r="GO133" i="1"/>
  <c r="GP133" i="1"/>
  <c r="GV133" i="1"/>
  <c r="HC133" i="1"/>
  <c r="GX133" i="1" s="1"/>
  <c r="I134" i="1"/>
  <c r="P134" i="1"/>
  <c r="CP134" i="1" s="1"/>
  <c r="O134" i="1" s="1"/>
  <c r="Q134" i="1"/>
  <c r="S134" i="1"/>
  <c r="Y134" i="1"/>
  <c r="AC134" i="1"/>
  <c r="AE134" i="1"/>
  <c r="AF134" i="1"/>
  <c r="AG134" i="1"/>
  <c r="AH134" i="1"/>
  <c r="AI134" i="1"/>
  <c r="CW134" i="1" s="1"/>
  <c r="V134" i="1" s="1"/>
  <c r="AJ134" i="1"/>
  <c r="CQ134" i="1"/>
  <c r="CR134" i="1"/>
  <c r="CT134" i="1"/>
  <c r="CU134" i="1"/>
  <c r="T134" i="1" s="1"/>
  <c r="CV134" i="1"/>
  <c r="U134" i="1" s="1"/>
  <c r="CX134" i="1"/>
  <c r="W134" i="1" s="1"/>
  <c r="CY134" i="1"/>
  <c r="X134" i="1" s="1"/>
  <c r="CZ134" i="1"/>
  <c r="FR134" i="1"/>
  <c r="GL134" i="1"/>
  <c r="GO134" i="1"/>
  <c r="GP134" i="1"/>
  <c r="GV134" i="1"/>
  <c r="HC134" i="1" s="1"/>
  <c r="GX134" i="1" s="1"/>
  <c r="C135" i="1"/>
  <c r="D135" i="1"/>
  <c r="I135" i="1"/>
  <c r="K135" i="1"/>
  <c r="P135" i="1"/>
  <c r="R135" i="1"/>
  <c r="S135" i="1"/>
  <c r="CZ135" i="1" s="1"/>
  <c r="Y135" i="1" s="1"/>
  <c r="AC135" i="1"/>
  <c r="AD135" i="1"/>
  <c r="AE135" i="1"/>
  <c r="Q135" i="1" s="1"/>
  <c r="AF135" i="1"/>
  <c r="AG135" i="1"/>
  <c r="AH135" i="1"/>
  <c r="CV135" i="1" s="1"/>
  <c r="U135" i="1" s="1"/>
  <c r="AI135" i="1"/>
  <c r="AJ135" i="1"/>
  <c r="CQ135" i="1"/>
  <c r="CR135" i="1"/>
  <c r="CS135" i="1"/>
  <c r="CT135" i="1"/>
  <c r="CU135" i="1"/>
  <c r="T135" i="1" s="1"/>
  <c r="CW135" i="1"/>
  <c r="V135" i="1" s="1"/>
  <c r="CX135" i="1"/>
  <c r="W135" i="1" s="1"/>
  <c r="CY135" i="1"/>
  <c r="X135" i="1" s="1"/>
  <c r="FR135" i="1"/>
  <c r="GK135" i="1"/>
  <c r="GL135" i="1"/>
  <c r="GO135" i="1"/>
  <c r="GP135" i="1"/>
  <c r="GV135" i="1"/>
  <c r="HC135" i="1"/>
  <c r="GX135" i="1" s="1"/>
  <c r="I136" i="1"/>
  <c r="R136" i="1"/>
  <c r="GK136" i="1" s="1"/>
  <c r="V136" i="1"/>
  <c r="AC136" i="1"/>
  <c r="AE136" i="1"/>
  <c r="AD136" i="1" s="1"/>
  <c r="AB136" i="1" s="1"/>
  <c r="AF136" i="1"/>
  <c r="AG136" i="1"/>
  <c r="AH136" i="1"/>
  <c r="AI136" i="1"/>
  <c r="AJ136" i="1"/>
  <c r="CX136" i="1" s="1"/>
  <c r="W136" i="1" s="1"/>
  <c r="CQ136" i="1"/>
  <c r="CR136" i="1"/>
  <c r="CS136" i="1"/>
  <c r="CU136" i="1"/>
  <c r="T136" i="1" s="1"/>
  <c r="CV136" i="1"/>
  <c r="U136" i="1" s="1"/>
  <c r="CW136" i="1"/>
  <c r="FR136" i="1"/>
  <c r="GL136" i="1"/>
  <c r="GO136" i="1"/>
  <c r="GP136" i="1"/>
  <c r="GV136" i="1"/>
  <c r="HC136" i="1" s="1"/>
  <c r="GX136" i="1" s="1"/>
  <c r="I137" i="1"/>
  <c r="Q137" i="1" s="1"/>
  <c r="P137" i="1"/>
  <c r="CP137" i="1" s="1"/>
  <c r="O137" i="1" s="1"/>
  <c r="R137" i="1"/>
  <c r="S137" i="1"/>
  <c r="CZ137" i="1" s="1"/>
  <c r="Y137" i="1" s="1"/>
  <c r="AC137" i="1"/>
  <c r="AB137" i="1" s="1"/>
  <c r="AD137" i="1"/>
  <c r="AE137" i="1"/>
  <c r="AF137" i="1"/>
  <c r="AG137" i="1"/>
  <c r="AH137" i="1"/>
  <c r="CV137" i="1" s="1"/>
  <c r="U137" i="1" s="1"/>
  <c r="AI137" i="1"/>
  <c r="AJ137" i="1"/>
  <c r="CQ137" i="1"/>
  <c r="CR137" i="1"/>
  <c r="CS137" i="1"/>
  <c r="CT137" i="1"/>
  <c r="CU137" i="1"/>
  <c r="T137" i="1" s="1"/>
  <c r="CW137" i="1"/>
  <c r="V137" i="1" s="1"/>
  <c r="CX137" i="1"/>
  <c r="W137" i="1" s="1"/>
  <c r="CY137" i="1"/>
  <c r="X137" i="1" s="1"/>
  <c r="FR137" i="1"/>
  <c r="GK137" i="1"/>
  <c r="GL137" i="1"/>
  <c r="GO137" i="1"/>
  <c r="GP137" i="1"/>
  <c r="GV137" i="1"/>
  <c r="HC137" i="1"/>
  <c r="GX137" i="1" s="1"/>
  <c r="I138" i="1"/>
  <c r="R138" i="1"/>
  <c r="GK138" i="1" s="1"/>
  <c r="AC138" i="1"/>
  <c r="AE138" i="1"/>
  <c r="AD138" i="1" s="1"/>
  <c r="AB138" i="1" s="1"/>
  <c r="AF138" i="1"/>
  <c r="AG138" i="1"/>
  <c r="AH138" i="1"/>
  <c r="AI138" i="1"/>
  <c r="AJ138" i="1"/>
  <c r="CX138" i="1" s="1"/>
  <c r="CQ138" i="1"/>
  <c r="CR138" i="1"/>
  <c r="CS138" i="1"/>
  <c r="CU138" i="1"/>
  <c r="CV138" i="1"/>
  <c r="CW138" i="1"/>
  <c r="V138" i="1" s="1"/>
  <c r="FR138" i="1"/>
  <c r="GL138" i="1"/>
  <c r="GO138" i="1"/>
  <c r="GP138" i="1"/>
  <c r="GV138" i="1"/>
  <c r="HC138" i="1" s="1"/>
  <c r="GX138" i="1" s="1"/>
  <c r="I139" i="1"/>
  <c r="Q139" i="1" s="1"/>
  <c r="P139" i="1"/>
  <c r="CP139" i="1" s="1"/>
  <c r="O139" i="1" s="1"/>
  <c r="R139" i="1"/>
  <c r="S139" i="1"/>
  <c r="CZ139" i="1" s="1"/>
  <c r="Y139" i="1" s="1"/>
  <c r="T139" i="1"/>
  <c r="AC139" i="1"/>
  <c r="AB139" i="1" s="1"/>
  <c r="AD139" i="1"/>
  <c r="AE139" i="1"/>
  <c r="AF139" i="1"/>
  <c r="AG139" i="1"/>
  <c r="AH139" i="1"/>
  <c r="CV139" i="1" s="1"/>
  <c r="U139" i="1" s="1"/>
  <c r="AI139" i="1"/>
  <c r="AJ139" i="1"/>
  <c r="CQ139" i="1"/>
  <c r="CR139" i="1"/>
  <c r="CS139" i="1"/>
  <c r="CT139" i="1"/>
  <c r="CU139" i="1"/>
  <c r="CW139" i="1"/>
  <c r="V139" i="1" s="1"/>
  <c r="CX139" i="1"/>
  <c r="W139" i="1" s="1"/>
  <c r="CY139" i="1"/>
  <c r="X139" i="1" s="1"/>
  <c r="FR139" i="1"/>
  <c r="GK139" i="1"/>
  <c r="GL139" i="1"/>
  <c r="GO139" i="1"/>
  <c r="GP139" i="1"/>
  <c r="GV139" i="1"/>
  <c r="HC139" i="1"/>
  <c r="GX139" i="1" s="1"/>
  <c r="C140" i="1"/>
  <c r="D140" i="1"/>
  <c r="I140" i="1"/>
  <c r="K140" i="1"/>
  <c r="R140" i="1"/>
  <c r="V140" i="1"/>
  <c r="AC140" i="1"/>
  <c r="AE140" i="1"/>
  <c r="AD140" i="1" s="1"/>
  <c r="AB140" i="1" s="1"/>
  <c r="AF140" i="1"/>
  <c r="S140" i="1" s="1"/>
  <c r="AG140" i="1"/>
  <c r="CU140" i="1" s="1"/>
  <c r="T140" i="1" s="1"/>
  <c r="AH140" i="1"/>
  <c r="AI140" i="1"/>
  <c r="AJ140" i="1"/>
  <c r="CX140" i="1" s="1"/>
  <c r="W140" i="1" s="1"/>
  <c r="CR140" i="1"/>
  <c r="CS140" i="1"/>
  <c r="CT140" i="1"/>
  <c r="CV140" i="1"/>
  <c r="U140" i="1" s="1"/>
  <c r="CW140" i="1"/>
  <c r="FR140" i="1"/>
  <c r="GK140" i="1"/>
  <c r="GL140" i="1"/>
  <c r="GO140" i="1"/>
  <c r="GP140" i="1"/>
  <c r="GV140" i="1"/>
  <c r="HC140" i="1"/>
  <c r="GX140" i="1" s="1"/>
  <c r="AC141" i="1"/>
  <c r="AD141" i="1"/>
  <c r="AE141" i="1"/>
  <c r="AF141" i="1"/>
  <c r="AG141" i="1"/>
  <c r="AH141" i="1"/>
  <c r="CV141" i="1" s="1"/>
  <c r="AI141" i="1"/>
  <c r="CW141" i="1" s="1"/>
  <c r="AJ141" i="1"/>
  <c r="CQ141" i="1"/>
  <c r="CR141" i="1"/>
  <c r="CT141" i="1"/>
  <c r="CU141" i="1"/>
  <c r="CX141" i="1"/>
  <c r="FR141" i="1"/>
  <c r="GL141" i="1"/>
  <c r="GO141" i="1"/>
  <c r="GP141" i="1"/>
  <c r="GV141" i="1"/>
  <c r="HC141" i="1" s="1"/>
  <c r="C142" i="1"/>
  <c r="D142" i="1"/>
  <c r="I142" i="1"/>
  <c r="K142" i="1"/>
  <c r="R142" i="1"/>
  <c r="S142" i="1"/>
  <c r="CZ142" i="1" s="1"/>
  <c r="Y142" i="1" s="1"/>
  <c r="AC142" i="1"/>
  <c r="AB142" i="1" s="1"/>
  <c r="AD142" i="1"/>
  <c r="AE142" i="1"/>
  <c r="Q142" i="1" s="1"/>
  <c r="AF142" i="1"/>
  <c r="AG142" i="1"/>
  <c r="CU142" i="1" s="1"/>
  <c r="T142" i="1" s="1"/>
  <c r="AH142" i="1"/>
  <c r="CV142" i="1" s="1"/>
  <c r="U142" i="1" s="1"/>
  <c r="AI142" i="1"/>
  <c r="AJ142" i="1"/>
  <c r="CR142" i="1"/>
  <c r="CS142" i="1"/>
  <c r="CT142" i="1"/>
  <c r="CW142" i="1"/>
  <c r="V142" i="1" s="1"/>
  <c r="CX142" i="1"/>
  <c r="W142" i="1" s="1"/>
  <c r="CY142" i="1"/>
  <c r="X142" i="1" s="1"/>
  <c r="FR142" i="1"/>
  <c r="GK142" i="1"/>
  <c r="GL142" i="1"/>
  <c r="GO142" i="1"/>
  <c r="CC158" i="1" s="1"/>
  <c r="GP142" i="1"/>
  <c r="GV142" i="1"/>
  <c r="HC142" i="1"/>
  <c r="GX142" i="1" s="1"/>
  <c r="I143" i="1"/>
  <c r="P143" i="1" s="1"/>
  <c r="AC143" i="1"/>
  <c r="AE143" i="1"/>
  <c r="AD143" i="1" s="1"/>
  <c r="AB143" i="1" s="1"/>
  <c r="AF143" i="1"/>
  <c r="AG143" i="1"/>
  <c r="AH143" i="1"/>
  <c r="AI143" i="1"/>
  <c r="CW143" i="1" s="1"/>
  <c r="V143" i="1" s="1"/>
  <c r="AJ143" i="1"/>
  <c r="CX143" i="1" s="1"/>
  <c r="CQ143" i="1"/>
  <c r="CS143" i="1"/>
  <c r="CU143" i="1"/>
  <c r="CV143" i="1"/>
  <c r="FR143" i="1"/>
  <c r="GL143" i="1"/>
  <c r="GO143" i="1"/>
  <c r="GP143" i="1"/>
  <c r="GV143" i="1"/>
  <c r="HC143" i="1" s="1"/>
  <c r="GX143" i="1"/>
  <c r="C144" i="1"/>
  <c r="D144" i="1"/>
  <c r="I144" i="1"/>
  <c r="P144" i="1" s="1"/>
  <c r="K144" i="1"/>
  <c r="T144" i="1"/>
  <c r="AC144" i="1"/>
  <c r="AD144" i="1"/>
  <c r="AE144" i="1"/>
  <c r="AF144" i="1"/>
  <c r="AG144" i="1"/>
  <c r="AH144" i="1"/>
  <c r="CV144" i="1" s="1"/>
  <c r="U144" i="1" s="1"/>
  <c r="AI144" i="1"/>
  <c r="CW144" i="1" s="1"/>
  <c r="AJ144" i="1"/>
  <c r="CQ144" i="1"/>
  <c r="CR144" i="1"/>
  <c r="CT144" i="1"/>
  <c r="CU144" i="1"/>
  <c r="CX144" i="1"/>
  <c r="W144" i="1" s="1"/>
  <c r="FR144" i="1"/>
  <c r="GL144" i="1"/>
  <c r="GO144" i="1"/>
  <c r="GP144" i="1"/>
  <c r="GV144" i="1"/>
  <c r="HC144" i="1" s="1"/>
  <c r="GX144" i="1" s="1"/>
  <c r="AC145" i="1"/>
  <c r="AE145" i="1"/>
  <c r="AD145" i="1" s="1"/>
  <c r="AF145" i="1"/>
  <c r="AG145" i="1"/>
  <c r="CU145" i="1" s="1"/>
  <c r="AH145" i="1"/>
  <c r="AI145" i="1"/>
  <c r="AJ145" i="1"/>
  <c r="CR145" i="1"/>
  <c r="CS145" i="1"/>
  <c r="CT145" i="1"/>
  <c r="CV145" i="1"/>
  <c r="CW145" i="1"/>
  <c r="CX145" i="1"/>
  <c r="FR145" i="1"/>
  <c r="GL145" i="1"/>
  <c r="GO145" i="1"/>
  <c r="GP145" i="1"/>
  <c r="GV145" i="1"/>
  <c r="HC145" i="1"/>
  <c r="AC146" i="1"/>
  <c r="AE146" i="1"/>
  <c r="AF146" i="1"/>
  <c r="AG146" i="1"/>
  <c r="AH146" i="1"/>
  <c r="AI146" i="1"/>
  <c r="CW146" i="1" s="1"/>
  <c r="AJ146" i="1"/>
  <c r="CQ146" i="1"/>
  <c r="CR146" i="1"/>
  <c r="CT146" i="1"/>
  <c r="CU146" i="1"/>
  <c r="CV146" i="1"/>
  <c r="CX146" i="1"/>
  <c r="FR146" i="1"/>
  <c r="GL146" i="1"/>
  <c r="GO146" i="1"/>
  <c r="GP146" i="1"/>
  <c r="GV146" i="1"/>
  <c r="HC146" i="1" s="1"/>
  <c r="C147" i="1"/>
  <c r="D147" i="1"/>
  <c r="I147" i="1"/>
  <c r="CX171" i="3" s="1"/>
  <c r="K147" i="1"/>
  <c r="R147" i="1"/>
  <c r="GK147" i="1" s="1"/>
  <c r="V147" i="1"/>
  <c r="AC147" i="1"/>
  <c r="AB147" i="1" s="1"/>
  <c r="AD147" i="1"/>
  <c r="AE147" i="1"/>
  <c r="Q147" i="1" s="1"/>
  <c r="AF147" i="1"/>
  <c r="S147" i="1" s="1"/>
  <c r="AG147" i="1"/>
  <c r="CU147" i="1" s="1"/>
  <c r="T147" i="1" s="1"/>
  <c r="AH147" i="1"/>
  <c r="CV147" i="1" s="1"/>
  <c r="U147" i="1" s="1"/>
  <c r="AI147" i="1"/>
  <c r="AJ147" i="1"/>
  <c r="CR147" i="1"/>
  <c r="CS147" i="1"/>
  <c r="CT147" i="1"/>
  <c r="CW147" i="1"/>
  <c r="CX147" i="1"/>
  <c r="W147" i="1" s="1"/>
  <c r="FR147" i="1"/>
  <c r="GL147" i="1"/>
  <c r="GO147" i="1"/>
  <c r="GP147" i="1"/>
  <c r="GV147" i="1"/>
  <c r="HC147" i="1" s="1"/>
  <c r="GX147" i="1" s="1"/>
  <c r="I148" i="1"/>
  <c r="P148" i="1"/>
  <c r="S148" i="1"/>
  <c r="CZ148" i="1" s="1"/>
  <c r="Y148" i="1" s="1"/>
  <c r="AC148" i="1"/>
  <c r="AB148" i="1" s="1"/>
  <c r="AD148" i="1"/>
  <c r="AE148" i="1"/>
  <c r="Q148" i="1" s="1"/>
  <c r="AF148" i="1"/>
  <c r="AG148" i="1"/>
  <c r="AH148" i="1"/>
  <c r="CV148" i="1" s="1"/>
  <c r="U148" i="1" s="1"/>
  <c r="AI148" i="1"/>
  <c r="CW148" i="1" s="1"/>
  <c r="V148" i="1" s="1"/>
  <c r="AJ148" i="1"/>
  <c r="CQ148" i="1"/>
  <c r="CR148" i="1"/>
  <c r="CT148" i="1"/>
  <c r="CU148" i="1"/>
  <c r="T148" i="1" s="1"/>
  <c r="CX148" i="1"/>
  <c r="W148" i="1" s="1"/>
  <c r="CY148" i="1"/>
  <c r="X148" i="1" s="1"/>
  <c r="FR148" i="1"/>
  <c r="GL148" i="1"/>
  <c r="GO148" i="1"/>
  <c r="GP148" i="1"/>
  <c r="GV148" i="1"/>
  <c r="HC148" i="1"/>
  <c r="GX148" i="1" s="1"/>
  <c r="I149" i="1"/>
  <c r="Q149" i="1" s="1"/>
  <c r="R149" i="1"/>
  <c r="GK149" i="1" s="1"/>
  <c r="AC149" i="1"/>
  <c r="P149" i="1" s="1"/>
  <c r="AE149" i="1"/>
  <c r="AD149" i="1" s="1"/>
  <c r="AB149" i="1" s="1"/>
  <c r="AF149" i="1"/>
  <c r="S149" i="1" s="1"/>
  <c r="AG149" i="1"/>
  <c r="CU149" i="1" s="1"/>
  <c r="T149" i="1" s="1"/>
  <c r="AH149" i="1"/>
  <c r="AI149" i="1"/>
  <c r="AJ149" i="1"/>
  <c r="CX149" i="1" s="1"/>
  <c r="W149" i="1" s="1"/>
  <c r="CR149" i="1"/>
  <c r="CS149" i="1"/>
  <c r="CV149" i="1"/>
  <c r="U149" i="1" s="1"/>
  <c r="CW149" i="1"/>
  <c r="V149" i="1" s="1"/>
  <c r="FR149" i="1"/>
  <c r="GL149" i="1"/>
  <c r="GO149" i="1"/>
  <c r="GP149" i="1"/>
  <c r="GV149" i="1"/>
  <c r="HC149" i="1" s="1"/>
  <c r="GX149" i="1" s="1"/>
  <c r="C150" i="1"/>
  <c r="D150" i="1"/>
  <c r="I150" i="1"/>
  <c r="I152" i="1" s="1"/>
  <c r="K150" i="1"/>
  <c r="AC150" i="1"/>
  <c r="AE150" i="1"/>
  <c r="AD150" i="1" s="1"/>
  <c r="AB150" i="1" s="1"/>
  <c r="AF150" i="1"/>
  <c r="S150" i="1" s="1"/>
  <c r="AG150" i="1"/>
  <c r="AH150" i="1"/>
  <c r="AI150" i="1"/>
  <c r="CW150" i="1" s="1"/>
  <c r="V150" i="1" s="1"/>
  <c r="AJ150" i="1"/>
  <c r="CX150" i="1" s="1"/>
  <c r="W150" i="1" s="1"/>
  <c r="CQ150" i="1"/>
  <c r="CR150" i="1"/>
  <c r="CU150" i="1"/>
  <c r="T150" i="1" s="1"/>
  <c r="CV150" i="1"/>
  <c r="U150" i="1" s="1"/>
  <c r="FR150" i="1"/>
  <c r="GL150" i="1"/>
  <c r="GO150" i="1"/>
  <c r="GP150" i="1"/>
  <c r="GV150" i="1"/>
  <c r="HC150" i="1" s="1"/>
  <c r="GX150" i="1" s="1"/>
  <c r="AC151" i="1"/>
  <c r="AB151" i="1" s="1"/>
  <c r="AD151" i="1"/>
  <c r="AE151" i="1"/>
  <c r="AF151" i="1"/>
  <c r="AG151" i="1"/>
  <c r="CU151" i="1" s="1"/>
  <c r="AH151" i="1"/>
  <c r="CV151" i="1" s="1"/>
  <c r="AI151" i="1"/>
  <c r="AJ151" i="1"/>
  <c r="CR151" i="1"/>
  <c r="CS151" i="1"/>
  <c r="CT151" i="1"/>
  <c r="CW151" i="1"/>
  <c r="CX151" i="1"/>
  <c r="FR151" i="1"/>
  <c r="GL151" i="1"/>
  <c r="GO151" i="1"/>
  <c r="GP151" i="1"/>
  <c r="GV151" i="1"/>
  <c r="HC151" i="1"/>
  <c r="AC152" i="1"/>
  <c r="AE152" i="1"/>
  <c r="AD152" i="1" s="1"/>
  <c r="AB152" i="1" s="1"/>
  <c r="AF152" i="1"/>
  <c r="AG152" i="1"/>
  <c r="AH152" i="1"/>
  <c r="AI152" i="1"/>
  <c r="CW152" i="1" s="1"/>
  <c r="AJ152" i="1"/>
  <c r="CX152" i="1" s="1"/>
  <c r="CQ152" i="1"/>
  <c r="CR152" i="1"/>
  <c r="CU152" i="1"/>
  <c r="CV152" i="1"/>
  <c r="FR152" i="1"/>
  <c r="GL152" i="1"/>
  <c r="GO152" i="1"/>
  <c r="GP152" i="1"/>
  <c r="GV152" i="1"/>
  <c r="HC152" i="1" s="1"/>
  <c r="GX152" i="1" s="1"/>
  <c r="AC153" i="1"/>
  <c r="AB153" i="1" s="1"/>
  <c r="AD153" i="1"/>
  <c r="AE153" i="1"/>
  <c r="AF153" i="1"/>
  <c r="AG153" i="1"/>
  <c r="CU153" i="1" s="1"/>
  <c r="AH153" i="1"/>
  <c r="CV153" i="1" s="1"/>
  <c r="AI153" i="1"/>
  <c r="AJ153" i="1"/>
  <c r="CR153" i="1"/>
  <c r="CS153" i="1"/>
  <c r="CT153" i="1"/>
  <c r="CW153" i="1"/>
  <c r="CX153" i="1"/>
  <c r="FR153" i="1"/>
  <c r="GL153" i="1"/>
  <c r="GO153" i="1"/>
  <c r="GP153" i="1"/>
  <c r="GV153" i="1"/>
  <c r="HC153" i="1"/>
  <c r="C154" i="1"/>
  <c r="D154" i="1"/>
  <c r="I154" i="1"/>
  <c r="I155" i="1" s="1"/>
  <c r="K154" i="1"/>
  <c r="R154" i="1"/>
  <c r="GK154" i="1" s="1"/>
  <c r="AC154" i="1"/>
  <c r="P154" i="1" s="1"/>
  <c r="AE154" i="1"/>
  <c r="Q154" i="1" s="1"/>
  <c r="AF154" i="1"/>
  <c r="S154" i="1" s="1"/>
  <c r="AG154" i="1"/>
  <c r="CU154" i="1" s="1"/>
  <c r="T154" i="1" s="1"/>
  <c r="AH154" i="1"/>
  <c r="AI154" i="1"/>
  <c r="AJ154" i="1"/>
  <c r="CX154" i="1" s="1"/>
  <c r="W154" i="1" s="1"/>
  <c r="CR154" i="1"/>
  <c r="CS154" i="1"/>
  <c r="CV154" i="1"/>
  <c r="U154" i="1" s="1"/>
  <c r="CW154" i="1"/>
  <c r="V154" i="1" s="1"/>
  <c r="FR154" i="1"/>
  <c r="GL154" i="1"/>
  <c r="GO154" i="1"/>
  <c r="GP154" i="1"/>
  <c r="GV154" i="1"/>
  <c r="HC154" i="1" s="1"/>
  <c r="GX154" i="1" s="1"/>
  <c r="AC155" i="1"/>
  <c r="AB155" i="1" s="1"/>
  <c r="AD155" i="1"/>
  <c r="AE155" i="1"/>
  <c r="R155" i="1" s="1"/>
  <c r="GK155" i="1" s="1"/>
  <c r="AF155" i="1"/>
  <c r="AG155" i="1"/>
  <c r="AH155" i="1"/>
  <c r="CV155" i="1" s="1"/>
  <c r="U155" i="1" s="1"/>
  <c r="AI155" i="1"/>
  <c r="CW155" i="1" s="1"/>
  <c r="V155" i="1" s="1"/>
  <c r="AJ155" i="1"/>
  <c r="CQ155" i="1"/>
  <c r="CR155" i="1"/>
  <c r="CT155" i="1"/>
  <c r="CU155" i="1"/>
  <c r="T155" i="1" s="1"/>
  <c r="CX155" i="1"/>
  <c r="W155" i="1" s="1"/>
  <c r="FR155" i="1"/>
  <c r="GL155" i="1"/>
  <c r="GO155" i="1"/>
  <c r="GP155" i="1"/>
  <c r="GV155" i="1"/>
  <c r="HC155" i="1"/>
  <c r="GX155" i="1" s="1"/>
  <c r="I156" i="1"/>
  <c r="Q156" i="1" s="1"/>
  <c r="R156" i="1"/>
  <c r="GK156" i="1" s="1"/>
  <c r="AC156" i="1"/>
  <c r="P156" i="1" s="1"/>
  <c r="AE156" i="1"/>
  <c r="AD156" i="1" s="1"/>
  <c r="AB156" i="1" s="1"/>
  <c r="AF156" i="1"/>
  <c r="S156" i="1" s="1"/>
  <c r="AG156" i="1"/>
  <c r="CU156" i="1" s="1"/>
  <c r="T156" i="1" s="1"/>
  <c r="AH156" i="1"/>
  <c r="AI156" i="1"/>
  <c r="AJ156" i="1"/>
  <c r="CX156" i="1" s="1"/>
  <c r="W156" i="1" s="1"/>
  <c r="CR156" i="1"/>
  <c r="CS156" i="1"/>
  <c r="CV156" i="1"/>
  <c r="U156" i="1" s="1"/>
  <c r="CW156" i="1"/>
  <c r="V156" i="1" s="1"/>
  <c r="FR156" i="1"/>
  <c r="GL156" i="1"/>
  <c r="GO156" i="1"/>
  <c r="GP156" i="1"/>
  <c r="GV156" i="1"/>
  <c r="HC156" i="1" s="1"/>
  <c r="GX156" i="1" s="1"/>
  <c r="B158" i="1"/>
  <c r="B95" i="1" s="1"/>
  <c r="C158" i="1"/>
  <c r="C95" i="1" s="1"/>
  <c r="D158" i="1"/>
  <c r="D95" i="1" s="1"/>
  <c r="F158" i="1"/>
  <c r="F95" i="1" s="1"/>
  <c r="G158" i="1"/>
  <c r="G95" i="1" s="1"/>
  <c r="BX158" i="1"/>
  <c r="BX95" i="1" s="1"/>
  <c r="BY158" i="1"/>
  <c r="BY95" i="1" s="1"/>
  <c r="BZ158" i="1"/>
  <c r="BZ95" i="1" s="1"/>
  <c r="CD158" i="1"/>
  <c r="CD95" i="1" s="1"/>
  <c r="CI158" i="1"/>
  <c r="CI95" i="1" s="1"/>
  <c r="CK158" i="1"/>
  <c r="CK95" i="1" s="1"/>
  <c r="CL158" i="1"/>
  <c r="CL95" i="1" s="1"/>
  <c r="CM158" i="1"/>
  <c r="CM95" i="1" s="1"/>
  <c r="D188" i="1"/>
  <c r="E190" i="1"/>
  <c r="Z190" i="1"/>
  <c r="AA190" i="1"/>
  <c r="AM190" i="1"/>
  <c r="AN190" i="1"/>
  <c r="BE190" i="1"/>
  <c r="BF190" i="1"/>
  <c r="BG190" i="1"/>
  <c r="BH190" i="1"/>
  <c r="BI190" i="1"/>
  <c r="BJ190" i="1"/>
  <c r="BK190" i="1"/>
  <c r="BL190" i="1"/>
  <c r="BM190" i="1"/>
  <c r="BN190" i="1"/>
  <c r="BO190" i="1"/>
  <c r="BP190" i="1"/>
  <c r="BQ190" i="1"/>
  <c r="BR190" i="1"/>
  <c r="BS190" i="1"/>
  <c r="BT190" i="1"/>
  <c r="BU190" i="1"/>
  <c r="BV190" i="1"/>
  <c r="BW190" i="1"/>
  <c r="CN190" i="1"/>
  <c r="CO190" i="1"/>
  <c r="CP190" i="1"/>
  <c r="CQ190" i="1"/>
  <c r="CR190" i="1"/>
  <c r="CS190" i="1"/>
  <c r="CT190" i="1"/>
  <c r="CU190" i="1"/>
  <c r="CV190" i="1"/>
  <c r="CW190" i="1"/>
  <c r="CX190" i="1"/>
  <c r="CY190" i="1"/>
  <c r="CZ190" i="1"/>
  <c r="DA190" i="1"/>
  <c r="DB190" i="1"/>
  <c r="DC190" i="1"/>
  <c r="DD190" i="1"/>
  <c r="DE190" i="1"/>
  <c r="DF190" i="1"/>
  <c r="DG190" i="1"/>
  <c r="DH190" i="1"/>
  <c r="DI190" i="1"/>
  <c r="DJ190" i="1"/>
  <c r="DK190" i="1"/>
  <c r="DL190" i="1"/>
  <c r="DM190" i="1"/>
  <c r="DN190" i="1"/>
  <c r="DO190" i="1"/>
  <c r="DP190" i="1"/>
  <c r="DQ190" i="1"/>
  <c r="DR190" i="1"/>
  <c r="DS190" i="1"/>
  <c r="DT190" i="1"/>
  <c r="DU190" i="1"/>
  <c r="DV190" i="1"/>
  <c r="DW190" i="1"/>
  <c r="DX190" i="1"/>
  <c r="DY190" i="1"/>
  <c r="DZ190" i="1"/>
  <c r="EA190" i="1"/>
  <c r="EB190" i="1"/>
  <c r="EC190" i="1"/>
  <c r="ED190" i="1"/>
  <c r="EE190" i="1"/>
  <c r="EF190" i="1"/>
  <c r="EG190" i="1"/>
  <c r="EH190" i="1"/>
  <c r="EI190" i="1"/>
  <c r="EJ190" i="1"/>
  <c r="EK190" i="1"/>
  <c r="EL190" i="1"/>
  <c r="EM190" i="1"/>
  <c r="EN190" i="1"/>
  <c r="EO190" i="1"/>
  <c r="EP190" i="1"/>
  <c r="EQ190" i="1"/>
  <c r="ER190" i="1"/>
  <c r="ES190" i="1"/>
  <c r="ET190" i="1"/>
  <c r="EU190" i="1"/>
  <c r="EV190" i="1"/>
  <c r="EW190" i="1"/>
  <c r="EX190" i="1"/>
  <c r="EY190" i="1"/>
  <c r="EZ190" i="1"/>
  <c r="FA190" i="1"/>
  <c r="FB190" i="1"/>
  <c r="FC190" i="1"/>
  <c r="FD190" i="1"/>
  <c r="FE190" i="1"/>
  <c r="FF190" i="1"/>
  <c r="FG190" i="1"/>
  <c r="FH190" i="1"/>
  <c r="FI190" i="1"/>
  <c r="FJ190" i="1"/>
  <c r="FK190" i="1"/>
  <c r="FL190" i="1"/>
  <c r="FM190" i="1"/>
  <c r="FN190" i="1"/>
  <c r="FO190" i="1"/>
  <c r="FP190" i="1"/>
  <c r="FQ190" i="1"/>
  <c r="FR190" i="1"/>
  <c r="FS190" i="1"/>
  <c r="FT190" i="1"/>
  <c r="FU190" i="1"/>
  <c r="FV190" i="1"/>
  <c r="FW190" i="1"/>
  <c r="FX190" i="1"/>
  <c r="FY190" i="1"/>
  <c r="FZ190" i="1"/>
  <c r="GA190" i="1"/>
  <c r="GB190" i="1"/>
  <c r="GC190" i="1"/>
  <c r="GD190" i="1"/>
  <c r="GE190" i="1"/>
  <c r="GF190" i="1"/>
  <c r="GG190" i="1"/>
  <c r="GH190" i="1"/>
  <c r="GI190" i="1"/>
  <c r="GJ190" i="1"/>
  <c r="GK190" i="1"/>
  <c r="GL190" i="1"/>
  <c r="GM190" i="1"/>
  <c r="GN190" i="1"/>
  <c r="GO190" i="1"/>
  <c r="GP190" i="1"/>
  <c r="GQ190" i="1"/>
  <c r="GR190" i="1"/>
  <c r="GS190" i="1"/>
  <c r="GT190" i="1"/>
  <c r="GU190" i="1"/>
  <c r="GV190" i="1"/>
  <c r="GW190" i="1"/>
  <c r="GX190" i="1"/>
  <c r="C193" i="1"/>
  <c r="D193" i="1"/>
  <c r="I193" i="1"/>
  <c r="K193" i="1"/>
  <c r="P193" i="1"/>
  <c r="S193" i="1"/>
  <c r="CZ193" i="1" s="1"/>
  <c r="Y193" i="1" s="1"/>
  <c r="AC193" i="1"/>
  <c r="AB193" i="1" s="1"/>
  <c r="AD193" i="1"/>
  <c r="AE193" i="1"/>
  <c r="Q193" i="1" s="1"/>
  <c r="AF193" i="1"/>
  <c r="AG193" i="1"/>
  <c r="AH193" i="1"/>
  <c r="CV193" i="1" s="1"/>
  <c r="U193" i="1" s="1"/>
  <c r="AI193" i="1"/>
  <c r="CW193" i="1" s="1"/>
  <c r="V193" i="1" s="1"/>
  <c r="AJ193" i="1"/>
  <c r="CQ193" i="1"/>
  <c r="CR193" i="1"/>
  <c r="CT193" i="1"/>
  <c r="CU193" i="1"/>
  <c r="T193" i="1" s="1"/>
  <c r="CX193" i="1"/>
  <c r="W193" i="1" s="1"/>
  <c r="CY193" i="1"/>
  <c r="X193" i="1" s="1"/>
  <c r="FR193" i="1"/>
  <c r="GL193" i="1"/>
  <c r="GO193" i="1"/>
  <c r="GP193" i="1"/>
  <c r="GV193" i="1"/>
  <c r="HC193" i="1"/>
  <c r="GX193" i="1" s="1"/>
  <c r="C194" i="1"/>
  <c r="D194" i="1"/>
  <c r="I194" i="1"/>
  <c r="K194" i="1"/>
  <c r="R194" i="1"/>
  <c r="S194" i="1"/>
  <c r="CY194" i="1" s="1"/>
  <c r="X194" i="1" s="1"/>
  <c r="AC194" i="1"/>
  <c r="AB194" i="1" s="1"/>
  <c r="AD194" i="1"/>
  <c r="AE194" i="1"/>
  <c r="Q194" i="1" s="1"/>
  <c r="AF194" i="1"/>
  <c r="AG194" i="1"/>
  <c r="CU194" i="1" s="1"/>
  <c r="T194" i="1" s="1"/>
  <c r="AH194" i="1"/>
  <c r="CV194" i="1" s="1"/>
  <c r="U194" i="1" s="1"/>
  <c r="AI194" i="1"/>
  <c r="AJ194" i="1"/>
  <c r="CR194" i="1"/>
  <c r="CS194" i="1"/>
  <c r="CT194" i="1"/>
  <c r="CW194" i="1"/>
  <c r="V194" i="1" s="1"/>
  <c r="CX194" i="1"/>
  <c r="W194" i="1" s="1"/>
  <c r="FR194" i="1"/>
  <c r="GK194" i="1"/>
  <c r="GL194" i="1"/>
  <c r="GO194" i="1"/>
  <c r="GP194" i="1"/>
  <c r="GV194" i="1"/>
  <c r="HC194" i="1"/>
  <c r="GX194" i="1" s="1"/>
  <c r="D195" i="1"/>
  <c r="I195" i="1"/>
  <c r="K195" i="1"/>
  <c r="R195" i="1"/>
  <c r="S195" i="1"/>
  <c r="CY195" i="1" s="1"/>
  <c r="X195" i="1" s="1"/>
  <c r="AC195" i="1"/>
  <c r="AB195" i="1" s="1"/>
  <c r="AD195" i="1"/>
  <c r="AE195" i="1"/>
  <c r="Q195" i="1" s="1"/>
  <c r="AF195" i="1"/>
  <c r="AG195" i="1"/>
  <c r="CU195" i="1" s="1"/>
  <c r="T195" i="1" s="1"/>
  <c r="AH195" i="1"/>
  <c r="CV195" i="1" s="1"/>
  <c r="U195" i="1" s="1"/>
  <c r="AI195" i="1"/>
  <c r="AJ195" i="1"/>
  <c r="CR195" i="1"/>
  <c r="CS195" i="1"/>
  <c r="CT195" i="1"/>
  <c r="CW195" i="1"/>
  <c r="V195" i="1" s="1"/>
  <c r="CX195" i="1"/>
  <c r="W195" i="1" s="1"/>
  <c r="FR195" i="1"/>
  <c r="GK195" i="1"/>
  <c r="GL195" i="1"/>
  <c r="GO195" i="1"/>
  <c r="GP195" i="1"/>
  <c r="GV195" i="1"/>
  <c r="HC195" i="1"/>
  <c r="GX195" i="1" s="1"/>
  <c r="C196" i="1"/>
  <c r="D196" i="1"/>
  <c r="I196" i="1"/>
  <c r="K196" i="1"/>
  <c r="R196" i="1"/>
  <c r="GK196" i="1" s="1"/>
  <c r="AC196" i="1"/>
  <c r="P196" i="1" s="1"/>
  <c r="AE196" i="1"/>
  <c r="Q196" i="1" s="1"/>
  <c r="AF196" i="1"/>
  <c r="S196" i="1" s="1"/>
  <c r="AG196" i="1"/>
  <c r="CU196" i="1" s="1"/>
  <c r="T196" i="1" s="1"/>
  <c r="AH196" i="1"/>
  <c r="AI196" i="1"/>
  <c r="AJ196" i="1"/>
  <c r="CX196" i="1" s="1"/>
  <c r="W196" i="1" s="1"/>
  <c r="CR196" i="1"/>
  <c r="CS196" i="1"/>
  <c r="CV196" i="1"/>
  <c r="U196" i="1" s="1"/>
  <c r="CW196" i="1"/>
  <c r="V196" i="1" s="1"/>
  <c r="FR196" i="1"/>
  <c r="GL196" i="1"/>
  <c r="GO196" i="1"/>
  <c r="GP196" i="1"/>
  <c r="GV196" i="1"/>
  <c r="HC196" i="1" s="1"/>
  <c r="GX196" i="1" s="1"/>
  <c r="C197" i="1"/>
  <c r="D197" i="1"/>
  <c r="I197" i="1"/>
  <c r="K197" i="1"/>
  <c r="AC197" i="1"/>
  <c r="AE197" i="1"/>
  <c r="AD197" i="1" s="1"/>
  <c r="AB197" i="1" s="1"/>
  <c r="AF197" i="1"/>
  <c r="S197" i="1" s="1"/>
  <c r="AG197" i="1"/>
  <c r="AH197" i="1"/>
  <c r="AI197" i="1"/>
  <c r="CW197" i="1" s="1"/>
  <c r="V197" i="1" s="1"/>
  <c r="AJ197" i="1"/>
  <c r="CX197" i="1" s="1"/>
  <c r="W197" i="1" s="1"/>
  <c r="CQ197" i="1"/>
  <c r="CR197" i="1"/>
  <c r="CU197" i="1"/>
  <c r="T197" i="1" s="1"/>
  <c r="CV197" i="1"/>
  <c r="U197" i="1" s="1"/>
  <c r="FR197" i="1"/>
  <c r="GL197" i="1"/>
  <c r="GO197" i="1"/>
  <c r="GP197" i="1"/>
  <c r="GV197" i="1"/>
  <c r="HC197" i="1" s="1"/>
  <c r="GX197" i="1" s="1"/>
  <c r="C199" i="1"/>
  <c r="D199" i="1"/>
  <c r="I199" i="1"/>
  <c r="K199" i="1"/>
  <c r="P199" i="1"/>
  <c r="S199" i="1"/>
  <c r="CZ199" i="1" s="1"/>
  <c r="Y199" i="1" s="1"/>
  <c r="AC199" i="1"/>
  <c r="AB199" i="1" s="1"/>
  <c r="AD199" i="1"/>
  <c r="AE199" i="1"/>
  <c r="Q199" i="1" s="1"/>
  <c r="AF199" i="1"/>
  <c r="AG199" i="1"/>
  <c r="AH199" i="1"/>
  <c r="CV199" i="1" s="1"/>
  <c r="U199" i="1" s="1"/>
  <c r="AI199" i="1"/>
  <c r="CW199" i="1" s="1"/>
  <c r="V199" i="1" s="1"/>
  <c r="AJ199" i="1"/>
  <c r="CQ199" i="1"/>
  <c r="CR199" i="1"/>
  <c r="CT199" i="1"/>
  <c r="CU199" i="1"/>
  <c r="T199" i="1" s="1"/>
  <c r="CX199" i="1"/>
  <c r="W199" i="1" s="1"/>
  <c r="CY199" i="1"/>
  <c r="X199" i="1" s="1"/>
  <c r="FR199" i="1"/>
  <c r="GL199" i="1"/>
  <c r="GO199" i="1"/>
  <c r="GP199" i="1"/>
  <c r="GV199" i="1"/>
  <c r="HC199" i="1"/>
  <c r="GX199" i="1" s="1"/>
  <c r="I200" i="1"/>
  <c r="Q200" i="1" s="1"/>
  <c r="R200" i="1"/>
  <c r="GK200" i="1" s="1"/>
  <c r="AC200" i="1"/>
  <c r="P200" i="1" s="1"/>
  <c r="AE200" i="1"/>
  <c r="AD200" i="1" s="1"/>
  <c r="AB200" i="1" s="1"/>
  <c r="AF200" i="1"/>
  <c r="S200" i="1" s="1"/>
  <c r="AG200" i="1"/>
  <c r="CU200" i="1" s="1"/>
  <c r="T200" i="1" s="1"/>
  <c r="AH200" i="1"/>
  <c r="AI200" i="1"/>
  <c r="AJ200" i="1"/>
  <c r="CX200" i="1" s="1"/>
  <c r="W200" i="1" s="1"/>
  <c r="CR200" i="1"/>
  <c r="CS200" i="1"/>
  <c r="CV200" i="1"/>
  <c r="U200" i="1" s="1"/>
  <c r="CW200" i="1"/>
  <c r="V200" i="1" s="1"/>
  <c r="FR200" i="1"/>
  <c r="GL200" i="1"/>
  <c r="GO200" i="1"/>
  <c r="GP200" i="1"/>
  <c r="GV200" i="1"/>
  <c r="HC200" i="1" s="1"/>
  <c r="GX200" i="1" s="1"/>
  <c r="C201" i="1"/>
  <c r="D201" i="1"/>
  <c r="I201" i="1"/>
  <c r="K201" i="1"/>
  <c r="AC201" i="1"/>
  <c r="AE201" i="1"/>
  <c r="AD201" i="1" s="1"/>
  <c r="AB201" i="1" s="1"/>
  <c r="AF201" i="1"/>
  <c r="S201" i="1" s="1"/>
  <c r="AG201" i="1"/>
  <c r="AH201" i="1"/>
  <c r="AI201" i="1"/>
  <c r="CW201" i="1" s="1"/>
  <c r="V201" i="1" s="1"/>
  <c r="AJ201" i="1"/>
  <c r="CX201" i="1" s="1"/>
  <c r="W201" i="1" s="1"/>
  <c r="CQ201" i="1"/>
  <c r="CR201" i="1"/>
  <c r="CU201" i="1"/>
  <c r="T201" i="1" s="1"/>
  <c r="CV201" i="1"/>
  <c r="U201" i="1" s="1"/>
  <c r="FR201" i="1"/>
  <c r="GL201" i="1"/>
  <c r="GO201" i="1"/>
  <c r="GP201" i="1"/>
  <c r="GV201" i="1"/>
  <c r="HC201" i="1" s="1"/>
  <c r="GX201" i="1" s="1"/>
  <c r="AC202" i="1"/>
  <c r="AD202" i="1"/>
  <c r="AE202" i="1"/>
  <c r="AF202" i="1"/>
  <c r="AG202" i="1"/>
  <c r="CU202" i="1" s="1"/>
  <c r="AH202" i="1"/>
  <c r="CV202" i="1" s="1"/>
  <c r="AI202" i="1"/>
  <c r="AJ202" i="1"/>
  <c r="CR202" i="1"/>
  <c r="CS202" i="1"/>
  <c r="CT202" i="1"/>
  <c r="CW202" i="1"/>
  <c r="CX202" i="1"/>
  <c r="FR202" i="1"/>
  <c r="GL202" i="1"/>
  <c r="GO202" i="1"/>
  <c r="GP202" i="1"/>
  <c r="GV202" i="1"/>
  <c r="HC202" i="1"/>
  <c r="C203" i="1"/>
  <c r="D203" i="1"/>
  <c r="I203" i="1"/>
  <c r="I204" i="1" s="1"/>
  <c r="K203" i="1"/>
  <c r="R203" i="1"/>
  <c r="GK203" i="1" s="1"/>
  <c r="AC203" i="1"/>
  <c r="P203" i="1" s="1"/>
  <c r="AE203" i="1"/>
  <c r="Q203" i="1" s="1"/>
  <c r="AF203" i="1"/>
  <c r="AG203" i="1"/>
  <c r="CU203" i="1" s="1"/>
  <c r="T203" i="1" s="1"/>
  <c r="AH203" i="1"/>
  <c r="AI203" i="1"/>
  <c r="AJ203" i="1"/>
  <c r="CX203" i="1" s="1"/>
  <c r="W203" i="1" s="1"/>
  <c r="CR203" i="1"/>
  <c r="CS203" i="1"/>
  <c r="CV203" i="1"/>
  <c r="U203" i="1" s="1"/>
  <c r="CW203" i="1"/>
  <c r="V203" i="1" s="1"/>
  <c r="FR203" i="1"/>
  <c r="GL203" i="1"/>
  <c r="GO203" i="1"/>
  <c r="GP203" i="1"/>
  <c r="GV203" i="1"/>
  <c r="HC203" i="1" s="1"/>
  <c r="GX203" i="1"/>
  <c r="T204" i="1"/>
  <c r="AC204" i="1"/>
  <c r="AD204" i="1"/>
  <c r="AE204" i="1"/>
  <c r="R204" i="1" s="1"/>
  <c r="GK204" i="1" s="1"/>
  <c r="AF204" i="1"/>
  <c r="AG204" i="1"/>
  <c r="AH204" i="1"/>
  <c r="CV204" i="1" s="1"/>
  <c r="AI204" i="1"/>
  <c r="CW204" i="1" s="1"/>
  <c r="V204" i="1" s="1"/>
  <c r="AJ204" i="1"/>
  <c r="CQ204" i="1"/>
  <c r="CR204" i="1"/>
  <c r="CT204" i="1"/>
  <c r="CU204" i="1"/>
  <c r="CX204" i="1"/>
  <c r="FR204" i="1"/>
  <c r="GL204" i="1"/>
  <c r="GO204" i="1"/>
  <c r="GP204" i="1"/>
  <c r="GV204" i="1"/>
  <c r="HC204" i="1"/>
  <c r="C205" i="1"/>
  <c r="D205" i="1"/>
  <c r="I205" i="1"/>
  <c r="K205" i="1"/>
  <c r="R205" i="1"/>
  <c r="V205" i="1"/>
  <c r="AC205" i="1"/>
  <c r="AD205" i="1"/>
  <c r="AE205" i="1"/>
  <c r="Q205" i="1" s="1"/>
  <c r="AF205" i="1"/>
  <c r="AB205" i="1" s="1"/>
  <c r="AG205" i="1"/>
  <c r="CU205" i="1" s="1"/>
  <c r="T205" i="1" s="1"/>
  <c r="AH205" i="1"/>
  <c r="CV205" i="1" s="1"/>
  <c r="U205" i="1" s="1"/>
  <c r="AI205" i="1"/>
  <c r="AJ205" i="1"/>
  <c r="CX205" i="1" s="1"/>
  <c r="W205" i="1" s="1"/>
  <c r="CR205" i="1"/>
  <c r="CS205" i="1"/>
  <c r="CT205" i="1"/>
  <c r="CW205" i="1"/>
  <c r="FR205" i="1"/>
  <c r="GK205" i="1"/>
  <c r="GL205" i="1"/>
  <c r="GO205" i="1"/>
  <c r="GP205" i="1"/>
  <c r="GV205" i="1"/>
  <c r="HC205" i="1"/>
  <c r="GX205" i="1" s="1"/>
  <c r="I206" i="1"/>
  <c r="P206" i="1"/>
  <c r="Q206" i="1"/>
  <c r="T206" i="1"/>
  <c r="AC206" i="1"/>
  <c r="AD206" i="1"/>
  <c r="AB206" i="1" s="1"/>
  <c r="AE206" i="1"/>
  <c r="AF206" i="1"/>
  <c r="S206" i="1" s="1"/>
  <c r="AG206" i="1"/>
  <c r="AH206" i="1"/>
  <c r="CV206" i="1" s="1"/>
  <c r="U206" i="1" s="1"/>
  <c r="AI206" i="1"/>
  <c r="CW206" i="1" s="1"/>
  <c r="V206" i="1" s="1"/>
  <c r="AJ206" i="1"/>
  <c r="CX206" i="1" s="1"/>
  <c r="W206" i="1" s="1"/>
  <c r="CQ206" i="1"/>
  <c r="CR206" i="1"/>
  <c r="CU206" i="1"/>
  <c r="CY206" i="1"/>
  <c r="X206" i="1" s="1"/>
  <c r="CZ206" i="1"/>
  <c r="Y206" i="1" s="1"/>
  <c r="FR206" i="1"/>
  <c r="GL206" i="1"/>
  <c r="GO206" i="1"/>
  <c r="GP206" i="1"/>
  <c r="GV206" i="1"/>
  <c r="HC206" i="1" s="1"/>
  <c r="GX206" i="1" s="1"/>
  <c r="C207" i="1"/>
  <c r="D207" i="1"/>
  <c r="I207" i="1"/>
  <c r="I209" i="1" s="1"/>
  <c r="Q209" i="1" s="1"/>
  <c r="K207" i="1"/>
  <c r="P207" i="1"/>
  <c r="CP207" i="1" s="1"/>
  <c r="O207" i="1" s="1"/>
  <c r="S207" i="1"/>
  <c r="CZ207" i="1" s="1"/>
  <c r="Y207" i="1" s="1"/>
  <c r="T207" i="1"/>
  <c r="W207" i="1"/>
  <c r="X207" i="1"/>
  <c r="AC207" i="1"/>
  <c r="AD207" i="1"/>
  <c r="AE207" i="1"/>
  <c r="Q207" i="1" s="1"/>
  <c r="AF207" i="1"/>
  <c r="AG207" i="1"/>
  <c r="AH207" i="1"/>
  <c r="CV207" i="1" s="1"/>
  <c r="U207" i="1" s="1"/>
  <c r="AI207" i="1"/>
  <c r="CW207" i="1" s="1"/>
  <c r="V207" i="1" s="1"/>
  <c r="AJ207" i="1"/>
  <c r="CQ207" i="1"/>
  <c r="CR207" i="1"/>
  <c r="CT207" i="1"/>
  <c r="CU207" i="1"/>
  <c r="CX207" i="1"/>
  <c r="CY207" i="1"/>
  <c r="FR207" i="1"/>
  <c r="GL207" i="1"/>
  <c r="GO207" i="1"/>
  <c r="GP207" i="1"/>
  <c r="GV207" i="1"/>
  <c r="HC207" i="1"/>
  <c r="GX207" i="1" s="1"/>
  <c r="I208" i="1"/>
  <c r="Q208" i="1"/>
  <c r="AC208" i="1"/>
  <c r="AE208" i="1"/>
  <c r="AD208" i="1" s="1"/>
  <c r="AB208" i="1" s="1"/>
  <c r="AF208" i="1"/>
  <c r="AG208" i="1"/>
  <c r="CU208" i="1" s="1"/>
  <c r="AH208" i="1"/>
  <c r="AI208" i="1"/>
  <c r="AJ208" i="1"/>
  <c r="CX208" i="1" s="1"/>
  <c r="W208" i="1" s="1"/>
  <c r="CV208" i="1"/>
  <c r="U208" i="1" s="1"/>
  <c r="CW208" i="1"/>
  <c r="V208" i="1" s="1"/>
  <c r="FR208" i="1"/>
  <c r="GL208" i="1"/>
  <c r="GO208" i="1"/>
  <c r="GP208" i="1"/>
  <c r="GV208" i="1"/>
  <c r="HC208" i="1" s="1"/>
  <c r="GX208" i="1" s="1"/>
  <c r="S209" i="1"/>
  <c r="CZ209" i="1" s="1"/>
  <c r="Y209" i="1" s="1"/>
  <c r="W209" i="1"/>
  <c r="AC209" i="1"/>
  <c r="AB209" i="1" s="1"/>
  <c r="AD209" i="1"/>
  <c r="AE209" i="1"/>
  <c r="R209" i="1" s="1"/>
  <c r="AF209" i="1"/>
  <c r="AG209" i="1"/>
  <c r="AH209" i="1"/>
  <c r="CV209" i="1" s="1"/>
  <c r="U209" i="1" s="1"/>
  <c r="AI209" i="1"/>
  <c r="CW209" i="1" s="1"/>
  <c r="V209" i="1" s="1"/>
  <c r="AJ209" i="1"/>
  <c r="CR209" i="1"/>
  <c r="CT209" i="1"/>
  <c r="CU209" i="1"/>
  <c r="T209" i="1" s="1"/>
  <c r="CX209" i="1"/>
  <c r="FR209" i="1"/>
  <c r="GK209" i="1"/>
  <c r="GL209" i="1"/>
  <c r="GO209" i="1"/>
  <c r="GP209" i="1"/>
  <c r="GV209" i="1"/>
  <c r="HC209" i="1"/>
  <c r="GX209" i="1" s="1"/>
  <c r="I210" i="1"/>
  <c r="Q210" i="1"/>
  <c r="R210" i="1"/>
  <c r="GK210" i="1" s="1"/>
  <c r="AB210" i="1"/>
  <c r="AC210" i="1"/>
  <c r="AE210" i="1"/>
  <c r="AD210" i="1" s="1"/>
  <c r="AF210" i="1"/>
  <c r="AG210" i="1"/>
  <c r="CU210" i="1" s="1"/>
  <c r="T210" i="1" s="1"/>
  <c r="AH210" i="1"/>
  <c r="AI210" i="1"/>
  <c r="AJ210" i="1"/>
  <c r="CX210" i="1" s="1"/>
  <c r="W210" i="1" s="1"/>
  <c r="CR210" i="1"/>
  <c r="CV210" i="1"/>
  <c r="U210" i="1" s="1"/>
  <c r="CW210" i="1"/>
  <c r="V210" i="1" s="1"/>
  <c r="FR210" i="1"/>
  <c r="GL210" i="1"/>
  <c r="GO210" i="1"/>
  <c r="GP210" i="1"/>
  <c r="GV210" i="1"/>
  <c r="HC210" i="1" s="1"/>
  <c r="GX210" i="1"/>
  <c r="C211" i="1"/>
  <c r="D211" i="1"/>
  <c r="I211" i="1"/>
  <c r="P211" i="1" s="1"/>
  <c r="K211" i="1"/>
  <c r="T211" i="1"/>
  <c r="AC211" i="1"/>
  <c r="AD211" i="1"/>
  <c r="AB211" i="1" s="1"/>
  <c r="AE211" i="1"/>
  <c r="AF211" i="1"/>
  <c r="AG211" i="1"/>
  <c r="AH211" i="1"/>
  <c r="CV211" i="1" s="1"/>
  <c r="U211" i="1" s="1"/>
  <c r="AI211" i="1"/>
  <c r="CW211" i="1" s="1"/>
  <c r="AJ211" i="1"/>
  <c r="CX211" i="1" s="1"/>
  <c r="CQ211" i="1"/>
  <c r="CR211" i="1"/>
  <c r="CU211" i="1"/>
  <c r="FR211" i="1"/>
  <c r="GL211" i="1"/>
  <c r="GO211" i="1"/>
  <c r="GP211" i="1"/>
  <c r="GV211" i="1"/>
  <c r="HC211" i="1" s="1"/>
  <c r="I212" i="1"/>
  <c r="Q212" i="1" s="1"/>
  <c r="V212" i="1"/>
  <c r="W212" i="1"/>
  <c r="AC212" i="1"/>
  <c r="AD212" i="1"/>
  <c r="AE212" i="1"/>
  <c r="AF212" i="1"/>
  <c r="AG212" i="1"/>
  <c r="CU212" i="1" s="1"/>
  <c r="AH212" i="1"/>
  <c r="CV212" i="1" s="1"/>
  <c r="U212" i="1" s="1"/>
  <c r="AI212" i="1"/>
  <c r="AJ212" i="1"/>
  <c r="CR212" i="1"/>
  <c r="CS212" i="1"/>
  <c r="CT212" i="1"/>
  <c r="CW212" i="1"/>
  <c r="CX212" i="1"/>
  <c r="FR212" i="1"/>
  <c r="GL212" i="1"/>
  <c r="GO212" i="1"/>
  <c r="GP212" i="1"/>
  <c r="GV212" i="1"/>
  <c r="HC212" i="1"/>
  <c r="GX212" i="1" s="1"/>
  <c r="AC213" i="1"/>
  <c r="AD213" i="1"/>
  <c r="AB213" i="1" s="1"/>
  <c r="AE213" i="1"/>
  <c r="AF213" i="1"/>
  <c r="AG213" i="1"/>
  <c r="AH213" i="1"/>
  <c r="CV213" i="1" s="1"/>
  <c r="AI213" i="1"/>
  <c r="CW213" i="1" s="1"/>
  <c r="AJ213" i="1"/>
  <c r="CX213" i="1" s="1"/>
  <c r="CQ213" i="1"/>
  <c r="CR213" i="1"/>
  <c r="CU213" i="1"/>
  <c r="FR213" i="1"/>
  <c r="GL213" i="1"/>
  <c r="GO213" i="1"/>
  <c r="GP213" i="1"/>
  <c r="GV213" i="1"/>
  <c r="HC213" i="1" s="1"/>
  <c r="I214" i="1"/>
  <c r="Q214" i="1" s="1"/>
  <c r="V214" i="1"/>
  <c r="W214" i="1"/>
  <c r="AC214" i="1"/>
  <c r="AD214" i="1"/>
  <c r="AE214" i="1"/>
  <c r="AF214" i="1"/>
  <c r="AG214" i="1"/>
  <c r="CU214" i="1" s="1"/>
  <c r="AH214" i="1"/>
  <c r="CV214" i="1" s="1"/>
  <c r="U214" i="1" s="1"/>
  <c r="AI214" i="1"/>
  <c r="AJ214" i="1"/>
  <c r="CR214" i="1"/>
  <c r="CS214" i="1"/>
  <c r="CT214" i="1"/>
  <c r="CW214" i="1"/>
  <c r="CX214" i="1"/>
  <c r="FR214" i="1"/>
  <c r="GL214" i="1"/>
  <c r="GO214" i="1"/>
  <c r="GP214" i="1"/>
  <c r="GV214" i="1"/>
  <c r="HC214" i="1"/>
  <c r="GX214" i="1" s="1"/>
  <c r="C215" i="1"/>
  <c r="D215" i="1"/>
  <c r="I215" i="1"/>
  <c r="Q215" i="1" s="1"/>
  <c r="K215" i="1"/>
  <c r="AC215" i="1"/>
  <c r="P215" i="1" s="1"/>
  <c r="AE215" i="1"/>
  <c r="AD215" i="1" s="1"/>
  <c r="AB215" i="1" s="1"/>
  <c r="AF215" i="1"/>
  <c r="AG215" i="1"/>
  <c r="CU215" i="1" s="1"/>
  <c r="AH215" i="1"/>
  <c r="AI215" i="1"/>
  <c r="CW215" i="1" s="1"/>
  <c r="V215" i="1" s="1"/>
  <c r="AJ215" i="1"/>
  <c r="CX215" i="1" s="1"/>
  <c r="CV215" i="1"/>
  <c r="U215" i="1" s="1"/>
  <c r="FR215" i="1"/>
  <c r="GL215" i="1"/>
  <c r="GO215" i="1"/>
  <c r="GP215" i="1"/>
  <c r="GV215" i="1"/>
  <c r="HC215" i="1" s="1"/>
  <c r="AC216" i="1"/>
  <c r="AD216" i="1"/>
  <c r="AE216" i="1"/>
  <c r="AF216" i="1"/>
  <c r="AG216" i="1"/>
  <c r="AH216" i="1"/>
  <c r="CV216" i="1" s="1"/>
  <c r="AI216" i="1"/>
  <c r="CW216" i="1" s="1"/>
  <c r="AJ216" i="1"/>
  <c r="CQ216" i="1"/>
  <c r="CR216" i="1"/>
  <c r="CT216" i="1"/>
  <c r="CU216" i="1"/>
  <c r="CX216" i="1"/>
  <c r="FR216" i="1"/>
  <c r="GL216" i="1"/>
  <c r="GO216" i="1"/>
  <c r="GP216" i="1"/>
  <c r="GV216" i="1"/>
  <c r="HC216" i="1"/>
  <c r="I217" i="1"/>
  <c r="Q217" i="1"/>
  <c r="AC217" i="1"/>
  <c r="AE217" i="1"/>
  <c r="AD217" i="1" s="1"/>
  <c r="AB217" i="1" s="1"/>
  <c r="AF217" i="1"/>
  <c r="AG217" i="1"/>
  <c r="CU217" i="1" s="1"/>
  <c r="AH217" i="1"/>
  <c r="AI217" i="1"/>
  <c r="AJ217" i="1"/>
  <c r="CX217" i="1" s="1"/>
  <c r="W217" i="1" s="1"/>
  <c r="CV217" i="1"/>
  <c r="U217" i="1" s="1"/>
  <c r="CW217" i="1"/>
  <c r="V217" i="1" s="1"/>
  <c r="FR217" i="1"/>
  <c r="GL217" i="1"/>
  <c r="GO217" i="1"/>
  <c r="GP217" i="1"/>
  <c r="GV217" i="1"/>
  <c r="HC217" i="1" s="1"/>
  <c r="GX217" i="1" s="1"/>
  <c r="AC218" i="1"/>
  <c r="CQ218" i="1" s="1"/>
  <c r="AE218" i="1"/>
  <c r="AF218" i="1"/>
  <c r="AG218" i="1"/>
  <c r="AH218" i="1"/>
  <c r="AI218" i="1"/>
  <c r="CW218" i="1" s="1"/>
  <c r="AJ218" i="1"/>
  <c r="CR218" i="1"/>
  <c r="CT218" i="1"/>
  <c r="CU218" i="1"/>
  <c r="CV218" i="1"/>
  <c r="CX218" i="1"/>
  <c r="FR218" i="1"/>
  <c r="GL218" i="1"/>
  <c r="GO218" i="1"/>
  <c r="GP218" i="1"/>
  <c r="GV218" i="1"/>
  <c r="HC218" i="1"/>
  <c r="C219" i="1"/>
  <c r="D219" i="1"/>
  <c r="I219" i="1"/>
  <c r="K219" i="1"/>
  <c r="R219" i="1"/>
  <c r="S219" i="1"/>
  <c r="CZ219" i="1" s="1"/>
  <c r="Y219" i="1" s="1"/>
  <c r="W219" i="1"/>
  <c r="AC219" i="1"/>
  <c r="AB219" i="1" s="1"/>
  <c r="AD219" i="1"/>
  <c r="AE219" i="1"/>
  <c r="Q219" i="1" s="1"/>
  <c r="AF219" i="1"/>
  <c r="AG219" i="1"/>
  <c r="AH219" i="1"/>
  <c r="CV219" i="1" s="1"/>
  <c r="U219" i="1" s="1"/>
  <c r="AI219" i="1"/>
  <c r="AJ219" i="1"/>
  <c r="CQ219" i="1"/>
  <c r="CR219" i="1"/>
  <c r="CS219" i="1"/>
  <c r="CT219" i="1"/>
  <c r="CU219" i="1"/>
  <c r="T219" i="1" s="1"/>
  <c r="CW219" i="1"/>
  <c r="V219" i="1" s="1"/>
  <c r="CX219" i="1"/>
  <c r="FR219" i="1"/>
  <c r="GK219" i="1"/>
  <c r="GL219" i="1"/>
  <c r="GO219" i="1"/>
  <c r="GP219" i="1"/>
  <c r="GV219" i="1"/>
  <c r="HC219" i="1"/>
  <c r="GX219" i="1" s="1"/>
  <c r="I220" i="1"/>
  <c r="P220" i="1" s="1"/>
  <c r="T220" i="1"/>
  <c r="AC220" i="1"/>
  <c r="AE220" i="1"/>
  <c r="R220" i="1" s="1"/>
  <c r="GK220" i="1" s="1"/>
  <c r="AF220" i="1"/>
  <c r="AG220" i="1"/>
  <c r="AH220" i="1"/>
  <c r="CV220" i="1" s="1"/>
  <c r="U220" i="1" s="1"/>
  <c r="AI220" i="1"/>
  <c r="CW220" i="1" s="1"/>
  <c r="V220" i="1" s="1"/>
  <c r="AJ220" i="1"/>
  <c r="CX220" i="1" s="1"/>
  <c r="CQ220" i="1"/>
  <c r="CS220" i="1"/>
  <c r="CU220" i="1"/>
  <c r="FR220" i="1"/>
  <c r="GL220" i="1"/>
  <c r="GO220" i="1"/>
  <c r="GP220" i="1"/>
  <c r="GV220" i="1"/>
  <c r="HC220" i="1" s="1"/>
  <c r="GX220" i="1" s="1"/>
  <c r="I221" i="1"/>
  <c r="Q221" i="1" s="1"/>
  <c r="R221" i="1"/>
  <c r="S221" i="1"/>
  <c r="CY221" i="1" s="1"/>
  <c r="X221" i="1" s="1"/>
  <c r="AC221" i="1"/>
  <c r="AE221" i="1"/>
  <c r="AD221" i="1" s="1"/>
  <c r="AF221" i="1"/>
  <c r="AG221" i="1"/>
  <c r="CU221" i="1" s="1"/>
  <c r="T221" i="1" s="1"/>
  <c r="AH221" i="1"/>
  <c r="AI221" i="1"/>
  <c r="AJ221" i="1"/>
  <c r="CR221" i="1"/>
  <c r="CS221" i="1"/>
  <c r="CT221" i="1"/>
  <c r="CV221" i="1"/>
  <c r="U221" i="1" s="1"/>
  <c r="CW221" i="1"/>
  <c r="V221" i="1" s="1"/>
  <c r="CX221" i="1"/>
  <c r="W221" i="1" s="1"/>
  <c r="FR221" i="1"/>
  <c r="GK221" i="1"/>
  <c r="GL221" i="1"/>
  <c r="GO221" i="1"/>
  <c r="GP221" i="1"/>
  <c r="GV221" i="1"/>
  <c r="HC221" i="1"/>
  <c r="GX221" i="1" s="1"/>
  <c r="C222" i="1"/>
  <c r="D222" i="1"/>
  <c r="I222" i="1"/>
  <c r="P222" i="1" s="1"/>
  <c r="K222" i="1"/>
  <c r="R222" i="1"/>
  <c r="GK222" i="1" s="1"/>
  <c r="AC222" i="1"/>
  <c r="AE222" i="1"/>
  <c r="Q222" i="1" s="1"/>
  <c r="AF222" i="1"/>
  <c r="S222" i="1" s="1"/>
  <c r="AG222" i="1"/>
  <c r="AH222" i="1"/>
  <c r="AI222" i="1"/>
  <c r="AJ222" i="1"/>
  <c r="CX222" i="1" s="1"/>
  <c r="W222" i="1" s="1"/>
  <c r="CQ222" i="1"/>
  <c r="CR222" i="1"/>
  <c r="CS222" i="1"/>
  <c r="CU222" i="1"/>
  <c r="T222" i="1" s="1"/>
  <c r="CV222" i="1"/>
  <c r="U222" i="1" s="1"/>
  <c r="CW222" i="1"/>
  <c r="V222" i="1" s="1"/>
  <c r="FR222" i="1"/>
  <c r="GL222" i="1"/>
  <c r="GO222" i="1"/>
  <c r="GP222" i="1"/>
  <c r="GV222" i="1"/>
  <c r="HC222" i="1" s="1"/>
  <c r="GX222" i="1" s="1"/>
  <c r="AC223" i="1"/>
  <c r="AB223" i="1" s="1"/>
  <c r="AD223" i="1"/>
  <c r="AE223" i="1"/>
  <c r="AF223" i="1"/>
  <c r="AG223" i="1"/>
  <c r="AH223" i="1"/>
  <c r="CV223" i="1" s="1"/>
  <c r="AI223" i="1"/>
  <c r="AJ223" i="1"/>
  <c r="CQ223" i="1"/>
  <c r="CR223" i="1"/>
  <c r="CS223" i="1"/>
  <c r="CT223" i="1"/>
  <c r="CU223" i="1"/>
  <c r="CW223" i="1"/>
  <c r="CX223" i="1"/>
  <c r="FR223" i="1"/>
  <c r="GL223" i="1"/>
  <c r="GO223" i="1"/>
  <c r="GP223" i="1"/>
  <c r="GV223" i="1"/>
  <c r="HC223" i="1"/>
  <c r="I224" i="1"/>
  <c r="Q224" i="1" s="1"/>
  <c r="R224" i="1"/>
  <c r="GK224" i="1" s="1"/>
  <c r="AC224" i="1"/>
  <c r="AE224" i="1"/>
  <c r="AD224" i="1" s="1"/>
  <c r="AB224" i="1" s="1"/>
  <c r="AF224" i="1"/>
  <c r="S224" i="1" s="1"/>
  <c r="AG224" i="1"/>
  <c r="AH224" i="1"/>
  <c r="AI224" i="1"/>
  <c r="AJ224" i="1"/>
  <c r="CX224" i="1" s="1"/>
  <c r="W224" i="1" s="1"/>
  <c r="CQ224" i="1"/>
  <c r="CR224" i="1"/>
  <c r="CS224" i="1"/>
  <c r="CU224" i="1"/>
  <c r="T224" i="1" s="1"/>
  <c r="CV224" i="1"/>
  <c r="U224" i="1" s="1"/>
  <c r="CW224" i="1"/>
  <c r="V224" i="1" s="1"/>
  <c r="FR224" i="1"/>
  <c r="GL224" i="1"/>
  <c r="GO224" i="1"/>
  <c r="GP224" i="1"/>
  <c r="GV224" i="1"/>
  <c r="HC224" i="1" s="1"/>
  <c r="GX224" i="1" s="1"/>
  <c r="C225" i="1"/>
  <c r="D225" i="1"/>
  <c r="I225" i="1"/>
  <c r="S225" i="1" s="1"/>
  <c r="K225" i="1"/>
  <c r="AC225" i="1"/>
  <c r="AE225" i="1"/>
  <c r="AD225" i="1" s="1"/>
  <c r="AF225" i="1"/>
  <c r="AG225" i="1"/>
  <c r="AH225" i="1"/>
  <c r="AI225" i="1"/>
  <c r="CW225" i="1" s="1"/>
  <c r="V225" i="1" s="1"/>
  <c r="AJ225" i="1"/>
  <c r="CQ225" i="1"/>
  <c r="CR225" i="1"/>
  <c r="CT225" i="1"/>
  <c r="CU225" i="1"/>
  <c r="T225" i="1" s="1"/>
  <c r="CV225" i="1"/>
  <c r="U225" i="1" s="1"/>
  <c r="CX225" i="1"/>
  <c r="W225" i="1" s="1"/>
  <c r="FR225" i="1"/>
  <c r="GL225" i="1"/>
  <c r="GO225" i="1"/>
  <c r="GP225" i="1"/>
  <c r="GV225" i="1"/>
  <c r="HC225" i="1" s="1"/>
  <c r="GX225" i="1" s="1"/>
  <c r="AC226" i="1"/>
  <c r="AB226" i="1" s="1"/>
  <c r="AE226" i="1"/>
  <c r="AD226" i="1" s="1"/>
  <c r="AF226" i="1"/>
  <c r="AG226" i="1"/>
  <c r="CU226" i="1" s="1"/>
  <c r="AH226" i="1"/>
  <c r="AI226" i="1"/>
  <c r="AJ226" i="1"/>
  <c r="CR226" i="1"/>
  <c r="CS226" i="1"/>
  <c r="CT226" i="1"/>
  <c r="CV226" i="1"/>
  <c r="CW226" i="1"/>
  <c r="CX226" i="1"/>
  <c r="FR226" i="1"/>
  <c r="GL226" i="1"/>
  <c r="GO226" i="1"/>
  <c r="GP226" i="1"/>
  <c r="GV226" i="1"/>
  <c r="HC226" i="1"/>
  <c r="C227" i="1"/>
  <c r="D227" i="1"/>
  <c r="I227" i="1"/>
  <c r="P227" i="1" s="1"/>
  <c r="K227" i="1"/>
  <c r="R227" i="1"/>
  <c r="GK227" i="1" s="1"/>
  <c r="AC227" i="1"/>
  <c r="AE227" i="1"/>
  <c r="Q227" i="1" s="1"/>
  <c r="AF227" i="1"/>
  <c r="S227" i="1" s="1"/>
  <c r="AG227" i="1"/>
  <c r="AH227" i="1"/>
  <c r="AI227" i="1"/>
  <c r="AJ227" i="1"/>
  <c r="CX227" i="1" s="1"/>
  <c r="W227" i="1" s="1"/>
  <c r="CQ227" i="1"/>
  <c r="CR227" i="1"/>
  <c r="CS227" i="1"/>
  <c r="CU227" i="1"/>
  <c r="T227" i="1" s="1"/>
  <c r="CV227" i="1"/>
  <c r="U227" i="1" s="1"/>
  <c r="CW227" i="1"/>
  <c r="V227" i="1" s="1"/>
  <c r="FR227" i="1"/>
  <c r="GL227" i="1"/>
  <c r="GO227" i="1"/>
  <c r="GP227" i="1"/>
  <c r="GV227" i="1"/>
  <c r="HC227" i="1" s="1"/>
  <c r="GX227" i="1" s="1"/>
  <c r="AC228" i="1"/>
  <c r="AB228" i="1" s="1"/>
  <c r="AD228" i="1"/>
  <c r="AE228" i="1"/>
  <c r="AF228" i="1"/>
  <c r="AG228" i="1"/>
  <c r="AH228" i="1"/>
  <c r="CV228" i="1" s="1"/>
  <c r="AI228" i="1"/>
  <c r="AJ228" i="1"/>
  <c r="CQ228" i="1"/>
  <c r="CR228" i="1"/>
  <c r="CS228" i="1"/>
  <c r="CT228" i="1"/>
  <c r="CU228" i="1"/>
  <c r="CW228" i="1"/>
  <c r="CX228" i="1"/>
  <c r="FR228" i="1"/>
  <c r="GL228" i="1"/>
  <c r="GO228" i="1"/>
  <c r="GP228" i="1"/>
  <c r="GV228" i="1"/>
  <c r="HC228" i="1"/>
  <c r="C229" i="1"/>
  <c r="D229" i="1"/>
  <c r="I229" i="1"/>
  <c r="K229" i="1"/>
  <c r="R229" i="1"/>
  <c r="S229" i="1"/>
  <c r="CY229" i="1" s="1"/>
  <c r="X229" i="1" s="1"/>
  <c r="AC229" i="1"/>
  <c r="AE229" i="1"/>
  <c r="AD229" i="1" s="1"/>
  <c r="AF229" i="1"/>
  <c r="AG229" i="1"/>
  <c r="CU229" i="1" s="1"/>
  <c r="T229" i="1" s="1"/>
  <c r="AH229" i="1"/>
  <c r="AI229" i="1"/>
  <c r="AJ229" i="1"/>
  <c r="CR229" i="1"/>
  <c r="CS229" i="1"/>
  <c r="CT229" i="1"/>
  <c r="CV229" i="1"/>
  <c r="U229" i="1" s="1"/>
  <c r="CW229" i="1"/>
  <c r="V229" i="1" s="1"/>
  <c r="CX229" i="1"/>
  <c r="W229" i="1" s="1"/>
  <c r="FR229" i="1"/>
  <c r="GK229" i="1"/>
  <c r="GL229" i="1"/>
  <c r="GO229" i="1"/>
  <c r="CC232" i="1" s="1"/>
  <c r="GP229" i="1"/>
  <c r="GV229" i="1"/>
  <c r="HC229" i="1"/>
  <c r="GX229" i="1" s="1"/>
  <c r="AC230" i="1"/>
  <c r="AE230" i="1"/>
  <c r="AD230" i="1" s="1"/>
  <c r="AF230" i="1"/>
  <c r="AG230" i="1"/>
  <c r="AH230" i="1"/>
  <c r="AI230" i="1"/>
  <c r="CW230" i="1" s="1"/>
  <c r="AJ230" i="1"/>
  <c r="CQ230" i="1"/>
  <c r="CR230" i="1"/>
  <c r="CT230" i="1"/>
  <c r="CU230" i="1"/>
  <c r="CV230" i="1"/>
  <c r="CX230" i="1"/>
  <c r="FR230" i="1"/>
  <c r="GL230" i="1"/>
  <c r="GO230" i="1"/>
  <c r="GP230" i="1"/>
  <c r="GV230" i="1"/>
  <c r="HC230" i="1" s="1"/>
  <c r="B232" i="1"/>
  <c r="B190" i="1" s="1"/>
  <c r="C232" i="1"/>
  <c r="C190" i="1" s="1"/>
  <c r="D232" i="1"/>
  <c r="D190" i="1" s="1"/>
  <c r="F232" i="1"/>
  <c r="F190" i="1" s="1"/>
  <c r="G232" i="1"/>
  <c r="G190" i="1" s="1"/>
  <c r="BX232" i="1"/>
  <c r="BX190" i="1" s="1"/>
  <c r="BY232" i="1"/>
  <c r="BY190" i="1" s="1"/>
  <c r="BZ232" i="1"/>
  <c r="BZ190" i="1" s="1"/>
  <c r="CD232" i="1"/>
  <c r="CD190" i="1" s="1"/>
  <c r="CK232" i="1"/>
  <c r="CK190" i="1" s="1"/>
  <c r="CL232" i="1"/>
  <c r="CL190" i="1" s="1"/>
  <c r="CM232" i="1"/>
  <c r="CM190" i="1" s="1"/>
  <c r="D262" i="1"/>
  <c r="E264" i="1"/>
  <c r="G264" i="1"/>
  <c r="Z264" i="1"/>
  <c r="AA264" i="1"/>
  <c r="AM264" i="1"/>
  <c r="AN264" i="1"/>
  <c r="BE264" i="1"/>
  <c r="BF264" i="1"/>
  <c r="BG264" i="1"/>
  <c r="BH264" i="1"/>
  <c r="BI264" i="1"/>
  <c r="BJ264" i="1"/>
  <c r="BK264" i="1"/>
  <c r="BL264" i="1"/>
  <c r="BM264" i="1"/>
  <c r="BN264" i="1"/>
  <c r="BO264" i="1"/>
  <c r="BP264" i="1"/>
  <c r="BQ264" i="1"/>
  <c r="BR264" i="1"/>
  <c r="BS264" i="1"/>
  <c r="BT264" i="1"/>
  <c r="BU264" i="1"/>
  <c r="BV264" i="1"/>
  <c r="BW264" i="1"/>
  <c r="CN264" i="1"/>
  <c r="CO264" i="1"/>
  <c r="CP264" i="1"/>
  <c r="CQ264" i="1"/>
  <c r="CR264" i="1"/>
  <c r="CS264" i="1"/>
  <c r="CT264" i="1"/>
  <c r="CU264" i="1"/>
  <c r="CV264" i="1"/>
  <c r="CW264" i="1"/>
  <c r="CX264" i="1"/>
  <c r="CY264" i="1"/>
  <c r="CZ264" i="1"/>
  <c r="DA264" i="1"/>
  <c r="DB264" i="1"/>
  <c r="DC264" i="1"/>
  <c r="DD264" i="1"/>
  <c r="DE264" i="1"/>
  <c r="DF264" i="1"/>
  <c r="DG264" i="1"/>
  <c r="DH264" i="1"/>
  <c r="DI264" i="1"/>
  <c r="DJ264" i="1"/>
  <c r="DK264" i="1"/>
  <c r="DL264" i="1"/>
  <c r="DM264" i="1"/>
  <c r="DN264" i="1"/>
  <c r="DO264" i="1"/>
  <c r="DP264" i="1"/>
  <c r="DQ264" i="1"/>
  <c r="DR264" i="1"/>
  <c r="DS264" i="1"/>
  <c r="DT264" i="1"/>
  <c r="DU264" i="1"/>
  <c r="DV264" i="1"/>
  <c r="DW264" i="1"/>
  <c r="DX264" i="1"/>
  <c r="DY264" i="1"/>
  <c r="DZ264" i="1"/>
  <c r="EA264" i="1"/>
  <c r="EB264" i="1"/>
  <c r="EC264" i="1"/>
  <c r="ED264" i="1"/>
  <c r="EE264" i="1"/>
  <c r="EF264" i="1"/>
  <c r="EG264" i="1"/>
  <c r="EH264" i="1"/>
  <c r="EI264" i="1"/>
  <c r="EJ264" i="1"/>
  <c r="EK264" i="1"/>
  <c r="EL264" i="1"/>
  <c r="EM264" i="1"/>
  <c r="EN264" i="1"/>
  <c r="EO264" i="1"/>
  <c r="EP264" i="1"/>
  <c r="EQ264" i="1"/>
  <c r="ER264" i="1"/>
  <c r="ES264" i="1"/>
  <c r="ET264" i="1"/>
  <c r="EU264" i="1"/>
  <c r="EV264" i="1"/>
  <c r="EW264" i="1"/>
  <c r="EX264" i="1"/>
  <c r="EY264" i="1"/>
  <c r="EZ264" i="1"/>
  <c r="FA264" i="1"/>
  <c r="FB264" i="1"/>
  <c r="FC264" i="1"/>
  <c r="FD264" i="1"/>
  <c r="FE264" i="1"/>
  <c r="FF264" i="1"/>
  <c r="FG264" i="1"/>
  <c r="FH264" i="1"/>
  <c r="FI264" i="1"/>
  <c r="FJ264" i="1"/>
  <c r="FK264" i="1"/>
  <c r="FL264" i="1"/>
  <c r="FM264" i="1"/>
  <c r="FN264" i="1"/>
  <c r="FO264" i="1"/>
  <c r="FP264" i="1"/>
  <c r="FQ264" i="1"/>
  <c r="FR264" i="1"/>
  <c r="FS264" i="1"/>
  <c r="FT264" i="1"/>
  <c r="FU264" i="1"/>
  <c r="FV264" i="1"/>
  <c r="FW264" i="1"/>
  <c r="FX264" i="1"/>
  <c r="FY264" i="1"/>
  <c r="FZ264" i="1"/>
  <c r="GA264" i="1"/>
  <c r="GB264" i="1"/>
  <c r="GC264" i="1"/>
  <c r="GD264" i="1"/>
  <c r="GE264" i="1"/>
  <c r="GF264" i="1"/>
  <c r="GG264" i="1"/>
  <c r="GH264" i="1"/>
  <c r="GI264" i="1"/>
  <c r="GJ264" i="1"/>
  <c r="GK264" i="1"/>
  <c r="GL264" i="1"/>
  <c r="GM264" i="1"/>
  <c r="GN264" i="1"/>
  <c r="GO264" i="1"/>
  <c r="GP264" i="1"/>
  <c r="GQ264" i="1"/>
  <c r="GR264" i="1"/>
  <c r="GS264" i="1"/>
  <c r="GT264" i="1"/>
  <c r="GU264" i="1"/>
  <c r="GV264" i="1"/>
  <c r="GW264" i="1"/>
  <c r="GX264" i="1"/>
  <c r="C266" i="1"/>
  <c r="D266" i="1"/>
  <c r="I266" i="1"/>
  <c r="K266" i="1"/>
  <c r="R266" i="1"/>
  <c r="S266" i="1"/>
  <c r="CY266" i="1" s="1"/>
  <c r="X266" i="1" s="1"/>
  <c r="AC266" i="1"/>
  <c r="AE266" i="1"/>
  <c r="AD266" i="1" s="1"/>
  <c r="AF266" i="1"/>
  <c r="AG266" i="1"/>
  <c r="CU266" i="1" s="1"/>
  <c r="T266" i="1" s="1"/>
  <c r="AH266" i="1"/>
  <c r="AI266" i="1"/>
  <c r="AJ266" i="1"/>
  <c r="CR266" i="1"/>
  <c r="CS266" i="1"/>
  <c r="CT266" i="1"/>
  <c r="CV266" i="1"/>
  <c r="U266" i="1" s="1"/>
  <c r="CW266" i="1"/>
  <c r="V266" i="1" s="1"/>
  <c r="CX266" i="1"/>
  <c r="W266" i="1" s="1"/>
  <c r="FR266" i="1"/>
  <c r="BY277" i="1" s="1"/>
  <c r="GK266" i="1"/>
  <c r="GL266" i="1"/>
  <c r="GO266" i="1"/>
  <c r="CC277" i="1" s="1"/>
  <c r="GP266" i="1"/>
  <c r="GV266" i="1"/>
  <c r="HC266" i="1"/>
  <c r="GX266" i="1" s="1"/>
  <c r="C267" i="1"/>
  <c r="D267" i="1"/>
  <c r="I267" i="1"/>
  <c r="P267" i="1" s="1"/>
  <c r="K267" i="1"/>
  <c r="R267" i="1"/>
  <c r="GK267" i="1" s="1"/>
  <c r="AC267" i="1"/>
  <c r="AE267" i="1"/>
  <c r="Q267" i="1" s="1"/>
  <c r="AF267" i="1"/>
  <c r="S267" i="1" s="1"/>
  <c r="AG267" i="1"/>
  <c r="AH267" i="1"/>
  <c r="AI267" i="1"/>
  <c r="AJ267" i="1"/>
  <c r="CX267" i="1" s="1"/>
  <c r="W267" i="1" s="1"/>
  <c r="CQ267" i="1"/>
  <c r="CR267" i="1"/>
  <c r="CS267" i="1"/>
  <c r="CU267" i="1"/>
  <c r="T267" i="1" s="1"/>
  <c r="CV267" i="1"/>
  <c r="U267" i="1" s="1"/>
  <c r="CW267" i="1"/>
  <c r="V267" i="1" s="1"/>
  <c r="FR267" i="1"/>
  <c r="GL267" i="1"/>
  <c r="GO267" i="1"/>
  <c r="GP267" i="1"/>
  <c r="GV267" i="1"/>
  <c r="HC267" i="1" s="1"/>
  <c r="GX267" i="1" s="1"/>
  <c r="AC268" i="1"/>
  <c r="AB268" i="1" s="1"/>
  <c r="AD268" i="1"/>
  <c r="AE268" i="1"/>
  <c r="AF268" i="1"/>
  <c r="AG268" i="1"/>
  <c r="AH268" i="1"/>
  <c r="CV268" i="1" s="1"/>
  <c r="AI268" i="1"/>
  <c r="AJ268" i="1"/>
  <c r="CQ268" i="1"/>
  <c r="CR268" i="1"/>
  <c r="CS268" i="1"/>
  <c r="CT268" i="1"/>
  <c r="CU268" i="1"/>
  <c r="CW268" i="1"/>
  <c r="CX268" i="1"/>
  <c r="FR268" i="1"/>
  <c r="GL268" i="1"/>
  <c r="BZ277" i="1" s="1"/>
  <c r="GO268" i="1"/>
  <c r="GP268" i="1"/>
  <c r="CD277" i="1" s="1"/>
  <c r="GV268" i="1"/>
  <c r="HC268" i="1"/>
  <c r="C269" i="1"/>
  <c r="D269" i="1"/>
  <c r="P269" i="1"/>
  <c r="S269" i="1"/>
  <c r="AC269" i="1"/>
  <c r="AE269" i="1"/>
  <c r="AD269" i="1" s="1"/>
  <c r="AF269" i="1"/>
  <c r="AG269" i="1"/>
  <c r="AH269" i="1"/>
  <c r="AI269" i="1"/>
  <c r="CW269" i="1" s="1"/>
  <c r="V269" i="1" s="1"/>
  <c r="AJ269" i="1"/>
  <c r="CQ269" i="1"/>
  <c r="CR269" i="1"/>
  <c r="CT269" i="1"/>
  <c r="CU269" i="1"/>
  <c r="T269" i="1" s="1"/>
  <c r="CV269" i="1"/>
  <c r="U269" i="1" s="1"/>
  <c r="CX269" i="1"/>
  <c r="W269" i="1" s="1"/>
  <c r="CY269" i="1"/>
  <c r="X269" i="1" s="1"/>
  <c r="CZ269" i="1"/>
  <c r="Y269" i="1" s="1"/>
  <c r="FR269" i="1"/>
  <c r="GL269" i="1"/>
  <c r="GO269" i="1"/>
  <c r="GP269" i="1"/>
  <c r="GV269" i="1"/>
  <c r="HC269" i="1" s="1"/>
  <c r="GX269" i="1" s="1"/>
  <c r="I270" i="1"/>
  <c r="Q270" i="1" s="1"/>
  <c r="R270" i="1"/>
  <c r="S270" i="1"/>
  <c r="CY270" i="1" s="1"/>
  <c r="X270" i="1" s="1"/>
  <c r="AC270" i="1"/>
  <c r="AE270" i="1"/>
  <c r="AD270" i="1" s="1"/>
  <c r="AF270" i="1"/>
  <c r="AG270" i="1"/>
  <c r="CU270" i="1" s="1"/>
  <c r="T270" i="1" s="1"/>
  <c r="AH270" i="1"/>
  <c r="AI270" i="1"/>
  <c r="AJ270" i="1"/>
  <c r="CR270" i="1"/>
  <c r="CS270" i="1"/>
  <c r="CT270" i="1"/>
  <c r="CV270" i="1"/>
  <c r="U270" i="1" s="1"/>
  <c r="CW270" i="1"/>
  <c r="V270" i="1" s="1"/>
  <c r="CX270" i="1"/>
  <c r="W270" i="1" s="1"/>
  <c r="FR270" i="1"/>
  <c r="GK270" i="1"/>
  <c r="GL270" i="1"/>
  <c r="GO270" i="1"/>
  <c r="GP270" i="1"/>
  <c r="GV270" i="1"/>
  <c r="HC270" i="1"/>
  <c r="GX270" i="1" s="1"/>
  <c r="C271" i="1"/>
  <c r="D271" i="1"/>
  <c r="I271" i="1"/>
  <c r="P271" i="1" s="1"/>
  <c r="K271" i="1"/>
  <c r="R271" i="1"/>
  <c r="GK271" i="1" s="1"/>
  <c r="AC271" i="1"/>
  <c r="AE271" i="1"/>
  <c r="Q271" i="1" s="1"/>
  <c r="AF271" i="1"/>
  <c r="S271" i="1" s="1"/>
  <c r="AG271" i="1"/>
  <c r="AH271" i="1"/>
  <c r="AI271" i="1"/>
  <c r="AJ271" i="1"/>
  <c r="CX271" i="1" s="1"/>
  <c r="W271" i="1" s="1"/>
  <c r="CQ271" i="1"/>
  <c r="CR271" i="1"/>
  <c r="CS271" i="1"/>
  <c r="CU271" i="1"/>
  <c r="T271" i="1" s="1"/>
  <c r="CV271" i="1"/>
  <c r="U271" i="1" s="1"/>
  <c r="CW271" i="1"/>
  <c r="V271" i="1" s="1"/>
  <c r="FR271" i="1"/>
  <c r="GL271" i="1"/>
  <c r="GO271" i="1"/>
  <c r="GP271" i="1"/>
  <c r="GV271" i="1"/>
  <c r="HC271" i="1" s="1"/>
  <c r="GX271" i="1" s="1"/>
  <c r="AC272" i="1"/>
  <c r="AB272" i="1" s="1"/>
  <c r="AD272" i="1"/>
  <c r="AE272" i="1"/>
  <c r="AF272" i="1"/>
  <c r="AG272" i="1"/>
  <c r="AH272" i="1"/>
  <c r="CV272" i="1" s="1"/>
  <c r="AI272" i="1"/>
  <c r="AJ272" i="1"/>
  <c r="CQ272" i="1"/>
  <c r="CR272" i="1"/>
  <c r="CS272" i="1"/>
  <c r="CT272" i="1"/>
  <c r="CU272" i="1"/>
  <c r="CW272" i="1"/>
  <c r="CX272" i="1"/>
  <c r="FR272" i="1"/>
  <c r="GL272" i="1"/>
  <c r="GO272" i="1"/>
  <c r="GP272" i="1"/>
  <c r="GV272" i="1"/>
  <c r="HC272" i="1"/>
  <c r="C273" i="1"/>
  <c r="D273" i="1"/>
  <c r="I273" i="1"/>
  <c r="K273" i="1"/>
  <c r="R273" i="1"/>
  <c r="S273" i="1"/>
  <c r="CY273" i="1" s="1"/>
  <c r="X273" i="1" s="1"/>
  <c r="AC273" i="1"/>
  <c r="AB273" i="1" s="1"/>
  <c r="AE273" i="1"/>
  <c r="AD273" i="1" s="1"/>
  <c r="AF273" i="1"/>
  <c r="AG273" i="1"/>
  <c r="CU273" i="1" s="1"/>
  <c r="T273" i="1" s="1"/>
  <c r="AH273" i="1"/>
  <c r="AI273" i="1"/>
  <c r="AJ273" i="1"/>
  <c r="CR273" i="1"/>
  <c r="CS273" i="1"/>
  <c r="CT273" i="1"/>
  <c r="CV273" i="1"/>
  <c r="U273" i="1" s="1"/>
  <c r="CW273" i="1"/>
  <c r="V273" i="1" s="1"/>
  <c r="CX273" i="1"/>
  <c r="W273" i="1" s="1"/>
  <c r="FR273" i="1"/>
  <c r="GK273" i="1"/>
  <c r="GL273" i="1"/>
  <c r="GO273" i="1"/>
  <c r="GP273" i="1"/>
  <c r="GV273" i="1"/>
  <c r="HC273" i="1"/>
  <c r="GX273" i="1" s="1"/>
  <c r="AC274" i="1"/>
  <c r="AB274" i="1" s="1"/>
  <c r="AE274" i="1"/>
  <c r="AD274" i="1" s="1"/>
  <c r="AF274" i="1"/>
  <c r="AG274" i="1"/>
  <c r="AH274" i="1"/>
  <c r="AI274" i="1"/>
  <c r="CW274" i="1" s="1"/>
  <c r="AJ274" i="1"/>
  <c r="CQ274" i="1"/>
  <c r="CR274" i="1"/>
  <c r="CT274" i="1"/>
  <c r="CU274" i="1"/>
  <c r="CV274" i="1"/>
  <c r="CX274" i="1"/>
  <c r="FR274" i="1"/>
  <c r="GL274" i="1"/>
  <c r="GO274" i="1"/>
  <c r="GP274" i="1"/>
  <c r="GV274" i="1"/>
  <c r="HC274" i="1" s="1"/>
  <c r="I275" i="1"/>
  <c r="Q275" i="1" s="1"/>
  <c r="R275" i="1"/>
  <c r="S275" i="1"/>
  <c r="CY275" i="1" s="1"/>
  <c r="X275" i="1" s="1"/>
  <c r="AC275" i="1"/>
  <c r="AB275" i="1" s="1"/>
  <c r="AE275" i="1"/>
  <c r="AD275" i="1" s="1"/>
  <c r="AF275" i="1"/>
  <c r="AG275" i="1"/>
  <c r="CU275" i="1" s="1"/>
  <c r="T275" i="1" s="1"/>
  <c r="AH275" i="1"/>
  <c r="AI275" i="1"/>
  <c r="AJ275" i="1"/>
  <c r="CR275" i="1"/>
  <c r="CS275" i="1"/>
  <c r="CT275" i="1"/>
  <c r="CV275" i="1"/>
  <c r="U275" i="1" s="1"/>
  <c r="CW275" i="1"/>
  <c r="V275" i="1" s="1"/>
  <c r="CX275" i="1"/>
  <c r="W275" i="1" s="1"/>
  <c r="FR275" i="1"/>
  <c r="GK275" i="1"/>
  <c r="GL275" i="1"/>
  <c r="GO275" i="1"/>
  <c r="GP275" i="1"/>
  <c r="GV275" i="1"/>
  <c r="HC275" i="1"/>
  <c r="GX275" i="1" s="1"/>
  <c r="B277" i="1"/>
  <c r="B264" i="1" s="1"/>
  <c r="C277" i="1"/>
  <c r="C264" i="1" s="1"/>
  <c r="D277" i="1"/>
  <c r="D264" i="1" s="1"/>
  <c r="F277" i="1"/>
  <c r="F264" i="1" s="1"/>
  <c r="G277" i="1"/>
  <c r="BX277" i="1"/>
  <c r="AO277" i="1" s="1"/>
  <c r="CK277" i="1"/>
  <c r="BB277" i="1" s="1"/>
  <c r="CL277" i="1"/>
  <c r="CL264" i="1" s="1"/>
  <c r="CM277" i="1"/>
  <c r="BD277" i="1" s="1"/>
  <c r="D307" i="1"/>
  <c r="B309" i="1"/>
  <c r="E309" i="1"/>
  <c r="Z309" i="1"/>
  <c r="AA309" i="1"/>
  <c r="AM309" i="1"/>
  <c r="AN309" i="1"/>
  <c r="BE309" i="1"/>
  <c r="BF309" i="1"/>
  <c r="BG309" i="1"/>
  <c r="BH309" i="1"/>
  <c r="BI309" i="1"/>
  <c r="BJ309" i="1"/>
  <c r="BK309" i="1"/>
  <c r="BL309" i="1"/>
  <c r="BM309" i="1"/>
  <c r="BN309" i="1"/>
  <c r="BO309" i="1"/>
  <c r="BP309" i="1"/>
  <c r="BQ309" i="1"/>
  <c r="BR309" i="1"/>
  <c r="BS309" i="1"/>
  <c r="BT309" i="1"/>
  <c r="BU309" i="1"/>
  <c r="BV309" i="1"/>
  <c r="BW309" i="1"/>
  <c r="CK309" i="1"/>
  <c r="CN309" i="1"/>
  <c r="CO309" i="1"/>
  <c r="CP309" i="1"/>
  <c r="CQ309" i="1"/>
  <c r="CR309" i="1"/>
  <c r="CS309" i="1"/>
  <c r="CT309" i="1"/>
  <c r="CU309" i="1"/>
  <c r="CV309" i="1"/>
  <c r="CW309" i="1"/>
  <c r="CX309" i="1"/>
  <c r="CY309" i="1"/>
  <c r="CZ309" i="1"/>
  <c r="DA309" i="1"/>
  <c r="DB309" i="1"/>
  <c r="DC309" i="1"/>
  <c r="DD309" i="1"/>
  <c r="DE309" i="1"/>
  <c r="DF309" i="1"/>
  <c r="DG309" i="1"/>
  <c r="DH309" i="1"/>
  <c r="DI309" i="1"/>
  <c r="DJ309" i="1"/>
  <c r="DK309" i="1"/>
  <c r="DL309" i="1"/>
  <c r="DM309" i="1"/>
  <c r="DN309" i="1"/>
  <c r="DO309" i="1"/>
  <c r="DP309" i="1"/>
  <c r="DQ309" i="1"/>
  <c r="DR309" i="1"/>
  <c r="DS309" i="1"/>
  <c r="DT309" i="1"/>
  <c r="DU309" i="1"/>
  <c r="DV309" i="1"/>
  <c r="DW309" i="1"/>
  <c r="DX309" i="1"/>
  <c r="DY309" i="1"/>
  <c r="DZ309" i="1"/>
  <c r="EA309" i="1"/>
  <c r="EB309" i="1"/>
  <c r="EC309" i="1"/>
  <c r="ED309" i="1"/>
  <c r="EE309" i="1"/>
  <c r="EF309" i="1"/>
  <c r="EG309" i="1"/>
  <c r="EH309" i="1"/>
  <c r="EI309" i="1"/>
  <c r="EJ309" i="1"/>
  <c r="EK309" i="1"/>
  <c r="EL309" i="1"/>
  <c r="EM309" i="1"/>
  <c r="EN309" i="1"/>
  <c r="EO309" i="1"/>
  <c r="EP309" i="1"/>
  <c r="EQ309" i="1"/>
  <c r="ER309" i="1"/>
  <c r="ES309" i="1"/>
  <c r="ET309" i="1"/>
  <c r="EU309" i="1"/>
  <c r="EV309" i="1"/>
  <c r="EW309" i="1"/>
  <c r="EX309" i="1"/>
  <c r="EY309" i="1"/>
  <c r="EZ309" i="1"/>
  <c r="FA309" i="1"/>
  <c r="FB309" i="1"/>
  <c r="FC309" i="1"/>
  <c r="FD309" i="1"/>
  <c r="FE309" i="1"/>
  <c r="FF309" i="1"/>
  <c r="FG309" i="1"/>
  <c r="FH309" i="1"/>
  <c r="FI309" i="1"/>
  <c r="FJ309" i="1"/>
  <c r="FK309" i="1"/>
  <c r="FL309" i="1"/>
  <c r="FM309" i="1"/>
  <c r="FN309" i="1"/>
  <c r="FO309" i="1"/>
  <c r="FP309" i="1"/>
  <c r="FQ309" i="1"/>
  <c r="FR309" i="1"/>
  <c r="FS309" i="1"/>
  <c r="FT309" i="1"/>
  <c r="FU309" i="1"/>
  <c r="FV309" i="1"/>
  <c r="FW309" i="1"/>
  <c r="FX309" i="1"/>
  <c r="FY309" i="1"/>
  <c r="FZ309" i="1"/>
  <c r="GA309" i="1"/>
  <c r="GB309" i="1"/>
  <c r="GC309" i="1"/>
  <c r="GD309" i="1"/>
  <c r="GE309" i="1"/>
  <c r="GF309" i="1"/>
  <c r="GG309" i="1"/>
  <c r="GH309" i="1"/>
  <c r="GI309" i="1"/>
  <c r="GJ309" i="1"/>
  <c r="GK309" i="1"/>
  <c r="GL309" i="1"/>
  <c r="GM309" i="1"/>
  <c r="GN309" i="1"/>
  <c r="GO309" i="1"/>
  <c r="GP309" i="1"/>
  <c r="GQ309" i="1"/>
  <c r="GR309" i="1"/>
  <c r="GS309" i="1"/>
  <c r="GT309" i="1"/>
  <c r="GU309" i="1"/>
  <c r="GV309" i="1"/>
  <c r="GW309" i="1"/>
  <c r="GX309" i="1"/>
  <c r="C311" i="1"/>
  <c r="D311" i="1"/>
  <c r="I311" i="1"/>
  <c r="S311" i="1" s="1"/>
  <c r="K311" i="1"/>
  <c r="AC311" i="1"/>
  <c r="AB311" i="1" s="1"/>
  <c r="AE311" i="1"/>
  <c r="AD311" i="1" s="1"/>
  <c r="AF311" i="1"/>
  <c r="AG311" i="1"/>
  <c r="AH311" i="1"/>
  <c r="AI311" i="1"/>
  <c r="CW311" i="1" s="1"/>
  <c r="V311" i="1" s="1"/>
  <c r="AJ311" i="1"/>
  <c r="CQ311" i="1"/>
  <c r="CR311" i="1"/>
  <c r="CT311" i="1"/>
  <c r="CU311" i="1"/>
  <c r="T311" i="1" s="1"/>
  <c r="CV311" i="1"/>
  <c r="U311" i="1" s="1"/>
  <c r="CX311" i="1"/>
  <c r="W311" i="1" s="1"/>
  <c r="FR311" i="1"/>
  <c r="GL311" i="1"/>
  <c r="GO311" i="1"/>
  <c r="GP311" i="1"/>
  <c r="GV311" i="1"/>
  <c r="HC311" i="1" s="1"/>
  <c r="GX311" i="1" s="1"/>
  <c r="C312" i="1"/>
  <c r="D312" i="1"/>
  <c r="I312" i="1"/>
  <c r="K312" i="1"/>
  <c r="P312" i="1"/>
  <c r="R312" i="1"/>
  <c r="S312" i="1"/>
  <c r="CZ312" i="1" s="1"/>
  <c r="Y312" i="1" s="1"/>
  <c r="AC312" i="1"/>
  <c r="AB312" i="1" s="1"/>
  <c r="AD312" i="1"/>
  <c r="AE312" i="1"/>
  <c r="Q312" i="1" s="1"/>
  <c r="AF312" i="1"/>
  <c r="AG312" i="1"/>
  <c r="AH312" i="1"/>
  <c r="CV312" i="1" s="1"/>
  <c r="U312" i="1" s="1"/>
  <c r="AI312" i="1"/>
  <c r="AJ312" i="1"/>
  <c r="CQ312" i="1"/>
  <c r="CR312" i="1"/>
  <c r="CS312" i="1"/>
  <c r="CT312" i="1"/>
  <c r="CU312" i="1"/>
  <c r="T312" i="1" s="1"/>
  <c r="CW312" i="1"/>
  <c r="V312" i="1" s="1"/>
  <c r="CX312" i="1"/>
  <c r="W312" i="1" s="1"/>
  <c r="CY312" i="1"/>
  <c r="X312" i="1" s="1"/>
  <c r="FR312" i="1"/>
  <c r="GK312" i="1"/>
  <c r="GL312" i="1"/>
  <c r="BZ326" i="1" s="1"/>
  <c r="GO312" i="1"/>
  <c r="CC326" i="1" s="1"/>
  <c r="GP312" i="1"/>
  <c r="CD326" i="1" s="1"/>
  <c r="GV312" i="1"/>
  <c r="HC312" i="1"/>
  <c r="GX312" i="1" s="1"/>
  <c r="I313" i="1"/>
  <c r="Q313" i="1" s="1"/>
  <c r="R313" i="1"/>
  <c r="GK313" i="1" s="1"/>
  <c r="AC313" i="1"/>
  <c r="AE313" i="1"/>
  <c r="AD313" i="1" s="1"/>
  <c r="AB313" i="1" s="1"/>
  <c r="AF313" i="1"/>
  <c r="S313" i="1" s="1"/>
  <c r="AG313" i="1"/>
  <c r="AH313" i="1"/>
  <c r="AI313" i="1"/>
  <c r="AJ313" i="1"/>
  <c r="CX313" i="1" s="1"/>
  <c r="W313" i="1" s="1"/>
  <c r="CQ313" i="1"/>
  <c r="CR313" i="1"/>
  <c r="CS313" i="1"/>
  <c r="CU313" i="1"/>
  <c r="T313" i="1" s="1"/>
  <c r="CV313" i="1"/>
  <c r="U313" i="1" s="1"/>
  <c r="CW313" i="1"/>
  <c r="V313" i="1" s="1"/>
  <c r="FR313" i="1"/>
  <c r="BY326" i="1" s="1"/>
  <c r="GL313" i="1"/>
  <c r="GO313" i="1"/>
  <c r="GP313" i="1"/>
  <c r="GV313" i="1"/>
  <c r="HC313" i="1" s="1"/>
  <c r="GX313" i="1" s="1"/>
  <c r="I314" i="1"/>
  <c r="Q314" i="1" s="1"/>
  <c r="P314" i="1"/>
  <c r="R314" i="1"/>
  <c r="S314" i="1"/>
  <c r="CZ314" i="1" s="1"/>
  <c r="Y314" i="1" s="1"/>
  <c r="AC314" i="1"/>
  <c r="AB314" i="1" s="1"/>
  <c r="AD314" i="1"/>
  <c r="AE314" i="1"/>
  <c r="AF314" i="1"/>
  <c r="AG314" i="1"/>
  <c r="AH314" i="1"/>
  <c r="CV314" i="1" s="1"/>
  <c r="U314" i="1" s="1"/>
  <c r="AI314" i="1"/>
  <c r="AJ314" i="1"/>
  <c r="CQ314" i="1"/>
  <c r="CR314" i="1"/>
  <c r="CS314" i="1"/>
  <c r="CT314" i="1"/>
  <c r="CU314" i="1"/>
  <c r="T314" i="1" s="1"/>
  <c r="CW314" i="1"/>
  <c r="V314" i="1" s="1"/>
  <c r="CX314" i="1"/>
  <c r="W314" i="1" s="1"/>
  <c r="CY314" i="1"/>
  <c r="X314" i="1" s="1"/>
  <c r="FR314" i="1"/>
  <c r="GK314" i="1"/>
  <c r="GL314" i="1"/>
  <c r="GO314" i="1"/>
  <c r="GP314" i="1"/>
  <c r="GV314" i="1"/>
  <c r="HC314" i="1"/>
  <c r="GX314" i="1" s="1"/>
  <c r="I315" i="1"/>
  <c r="Q315" i="1" s="1"/>
  <c r="R315" i="1"/>
  <c r="GK315" i="1" s="1"/>
  <c r="AC315" i="1"/>
  <c r="AE315" i="1"/>
  <c r="AD315" i="1" s="1"/>
  <c r="AB315" i="1" s="1"/>
  <c r="AF315" i="1"/>
  <c r="S315" i="1" s="1"/>
  <c r="AG315" i="1"/>
  <c r="AH315" i="1"/>
  <c r="AI315" i="1"/>
  <c r="AJ315" i="1"/>
  <c r="CX315" i="1" s="1"/>
  <c r="W315" i="1" s="1"/>
  <c r="CQ315" i="1"/>
  <c r="CR315" i="1"/>
  <c r="CS315" i="1"/>
  <c r="CU315" i="1"/>
  <c r="T315" i="1" s="1"/>
  <c r="CV315" i="1"/>
  <c r="U315" i="1" s="1"/>
  <c r="CW315" i="1"/>
  <c r="V315" i="1" s="1"/>
  <c r="FR315" i="1"/>
  <c r="GL315" i="1"/>
  <c r="GO315" i="1"/>
  <c r="GP315" i="1"/>
  <c r="GV315" i="1"/>
  <c r="HC315" i="1" s="1"/>
  <c r="GX315" i="1" s="1"/>
  <c r="I316" i="1"/>
  <c r="Q316" i="1" s="1"/>
  <c r="P316" i="1"/>
  <c r="CP316" i="1" s="1"/>
  <c r="O316" i="1" s="1"/>
  <c r="GM316" i="1" s="1"/>
  <c r="GN316" i="1" s="1"/>
  <c r="R316" i="1"/>
  <c r="S316" i="1"/>
  <c r="CZ316" i="1" s="1"/>
  <c r="Y316" i="1" s="1"/>
  <c r="AC316" i="1"/>
  <c r="AB316" i="1" s="1"/>
  <c r="AD316" i="1"/>
  <c r="AE316" i="1"/>
  <c r="AF316" i="1"/>
  <c r="AG316" i="1"/>
  <c r="AH316" i="1"/>
  <c r="CV316" i="1" s="1"/>
  <c r="U316" i="1" s="1"/>
  <c r="AI316" i="1"/>
  <c r="AJ316" i="1"/>
  <c r="CQ316" i="1"/>
  <c r="CR316" i="1"/>
  <c r="CS316" i="1"/>
  <c r="CT316" i="1"/>
  <c r="CU316" i="1"/>
  <c r="T316" i="1" s="1"/>
  <c r="CW316" i="1"/>
  <c r="V316" i="1" s="1"/>
  <c r="CX316" i="1"/>
  <c r="W316" i="1" s="1"/>
  <c r="CY316" i="1"/>
  <c r="X316" i="1" s="1"/>
  <c r="FR316" i="1"/>
  <c r="GK316" i="1"/>
  <c r="GL316" i="1"/>
  <c r="GO316" i="1"/>
  <c r="GP316" i="1"/>
  <c r="GV316" i="1"/>
  <c r="HC316" i="1"/>
  <c r="GX316" i="1" s="1"/>
  <c r="C317" i="1"/>
  <c r="D317" i="1"/>
  <c r="I317" i="1"/>
  <c r="K317" i="1"/>
  <c r="R317" i="1"/>
  <c r="S317" i="1"/>
  <c r="CY317" i="1" s="1"/>
  <c r="X317" i="1" s="1"/>
  <c r="AC317" i="1"/>
  <c r="AB317" i="1" s="1"/>
  <c r="AE317" i="1"/>
  <c r="AD317" i="1" s="1"/>
  <c r="AF317" i="1"/>
  <c r="AG317" i="1"/>
  <c r="CU317" i="1" s="1"/>
  <c r="T317" i="1" s="1"/>
  <c r="AH317" i="1"/>
  <c r="AI317" i="1"/>
  <c r="AJ317" i="1"/>
  <c r="CR317" i="1"/>
  <c r="CS317" i="1"/>
  <c r="CT317" i="1"/>
  <c r="CV317" i="1"/>
  <c r="U317" i="1" s="1"/>
  <c r="CW317" i="1"/>
  <c r="V317" i="1" s="1"/>
  <c r="CX317" i="1"/>
  <c r="W317" i="1" s="1"/>
  <c r="FR317" i="1"/>
  <c r="GK317" i="1"/>
  <c r="GL317" i="1"/>
  <c r="GO317" i="1"/>
  <c r="GP317" i="1"/>
  <c r="GV317" i="1"/>
  <c r="HC317" i="1"/>
  <c r="GX317" i="1" s="1"/>
  <c r="AC318" i="1"/>
  <c r="AB318" i="1" s="1"/>
  <c r="AE318" i="1"/>
  <c r="AD318" i="1" s="1"/>
  <c r="AF318" i="1"/>
  <c r="AG318" i="1"/>
  <c r="AH318" i="1"/>
  <c r="AI318" i="1"/>
  <c r="CW318" i="1" s="1"/>
  <c r="AJ318" i="1"/>
  <c r="CQ318" i="1"/>
  <c r="CR318" i="1"/>
  <c r="CT318" i="1"/>
  <c r="CU318" i="1"/>
  <c r="CV318" i="1"/>
  <c r="CX318" i="1"/>
  <c r="FR318" i="1"/>
  <c r="GL318" i="1"/>
  <c r="GO318" i="1"/>
  <c r="GP318" i="1"/>
  <c r="GV318" i="1"/>
  <c r="HC318" i="1" s="1"/>
  <c r="I319" i="1"/>
  <c r="Q319" i="1" s="1"/>
  <c r="R319" i="1"/>
  <c r="S319" i="1"/>
  <c r="CY319" i="1" s="1"/>
  <c r="X319" i="1" s="1"/>
  <c r="AC319" i="1"/>
  <c r="AB319" i="1" s="1"/>
  <c r="AE319" i="1"/>
  <c r="AD319" i="1" s="1"/>
  <c r="AF319" i="1"/>
  <c r="AG319" i="1"/>
  <c r="CU319" i="1" s="1"/>
  <c r="T319" i="1" s="1"/>
  <c r="AH319" i="1"/>
  <c r="AI319" i="1"/>
  <c r="AJ319" i="1"/>
  <c r="CR319" i="1"/>
  <c r="CS319" i="1"/>
  <c r="CT319" i="1"/>
  <c r="CV319" i="1"/>
  <c r="U319" i="1" s="1"/>
  <c r="CW319" i="1"/>
  <c r="V319" i="1" s="1"/>
  <c r="CX319" i="1"/>
  <c r="W319" i="1" s="1"/>
  <c r="FR319" i="1"/>
  <c r="GK319" i="1"/>
  <c r="GL319" i="1"/>
  <c r="GO319" i="1"/>
  <c r="GP319" i="1"/>
  <c r="GV319" i="1"/>
  <c r="HC319" i="1"/>
  <c r="GX319" i="1" s="1"/>
  <c r="C320" i="1"/>
  <c r="D320" i="1"/>
  <c r="I320" i="1"/>
  <c r="P320" i="1" s="1"/>
  <c r="K320" i="1"/>
  <c r="R320" i="1"/>
  <c r="GK320" i="1" s="1"/>
  <c r="AC320" i="1"/>
  <c r="AE320" i="1"/>
  <c r="Q320" i="1" s="1"/>
  <c r="AF320" i="1"/>
  <c r="S320" i="1" s="1"/>
  <c r="AG320" i="1"/>
  <c r="AH320" i="1"/>
  <c r="AI320" i="1"/>
  <c r="AJ320" i="1"/>
  <c r="CX320" i="1" s="1"/>
  <c r="W320" i="1" s="1"/>
  <c r="CQ320" i="1"/>
  <c r="CR320" i="1"/>
  <c r="CS320" i="1"/>
  <c r="CU320" i="1"/>
  <c r="T320" i="1" s="1"/>
  <c r="CV320" i="1"/>
  <c r="U320" i="1" s="1"/>
  <c r="CW320" i="1"/>
  <c r="V320" i="1" s="1"/>
  <c r="FR320" i="1"/>
  <c r="GL320" i="1"/>
  <c r="GO320" i="1"/>
  <c r="GP320" i="1"/>
  <c r="GV320" i="1"/>
  <c r="HC320" i="1" s="1"/>
  <c r="GX320" i="1" s="1"/>
  <c r="AC321" i="1"/>
  <c r="AB321" i="1" s="1"/>
  <c r="AD321" i="1"/>
  <c r="AE321" i="1"/>
  <c r="AF321" i="1"/>
  <c r="AG321" i="1"/>
  <c r="AH321" i="1"/>
  <c r="CV321" i="1" s="1"/>
  <c r="AI321" i="1"/>
  <c r="AJ321" i="1"/>
  <c r="CQ321" i="1"/>
  <c r="CR321" i="1"/>
  <c r="CS321" i="1"/>
  <c r="CT321" i="1"/>
  <c r="CU321" i="1"/>
  <c r="CW321" i="1"/>
  <c r="CX321" i="1"/>
  <c r="FR321" i="1"/>
  <c r="GL321" i="1"/>
  <c r="GO321" i="1"/>
  <c r="GP321" i="1"/>
  <c r="GV321" i="1"/>
  <c r="HC321" i="1"/>
  <c r="C322" i="1"/>
  <c r="D322" i="1"/>
  <c r="I322" i="1"/>
  <c r="K322" i="1"/>
  <c r="R322" i="1"/>
  <c r="S322" i="1"/>
  <c r="CY322" i="1" s="1"/>
  <c r="X322" i="1" s="1"/>
  <c r="AC322" i="1"/>
  <c r="AE322" i="1"/>
  <c r="AD322" i="1" s="1"/>
  <c r="AF322" i="1"/>
  <c r="AG322" i="1"/>
  <c r="CU322" i="1" s="1"/>
  <c r="T322" i="1" s="1"/>
  <c r="AH322" i="1"/>
  <c r="AI322" i="1"/>
  <c r="AJ322" i="1"/>
  <c r="CR322" i="1"/>
  <c r="CS322" i="1"/>
  <c r="CT322" i="1"/>
  <c r="CV322" i="1"/>
  <c r="U322" i="1" s="1"/>
  <c r="CW322" i="1"/>
  <c r="V322" i="1" s="1"/>
  <c r="CX322" i="1"/>
  <c r="W322" i="1" s="1"/>
  <c r="FR322" i="1"/>
  <c r="GK322" i="1"/>
  <c r="GL322" i="1"/>
  <c r="GO322" i="1"/>
  <c r="GP322" i="1"/>
  <c r="GV322" i="1"/>
  <c r="HC322" i="1"/>
  <c r="GX322" i="1" s="1"/>
  <c r="AC323" i="1"/>
  <c r="AE323" i="1"/>
  <c r="AD323" i="1" s="1"/>
  <c r="AF323" i="1"/>
  <c r="AG323" i="1"/>
  <c r="AH323" i="1"/>
  <c r="AI323" i="1"/>
  <c r="CW323" i="1" s="1"/>
  <c r="AJ323" i="1"/>
  <c r="CQ323" i="1"/>
  <c r="CR323" i="1"/>
  <c r="CT323" i="1"/>
  <c r="CU323" i="1"/>
  <c r="CV323" i="1"/>
  <c r="CX323" i="1"/>
  <c r="FR323" i="1"/>
  <c r="GL323" i="1"/>
  <c r="GO323" i="1"/>
  <c r="GP323" i="1"/>
  <c r="GV323" i="1"/>
  <c r="HC323" i="1" s="1"/>
  <c r="I324" i="1"/>
  <c r="Q324" i="1" s="1"/>
  <c r="R324" i="1"/>
  <c r="S324" i="1"/>
  <c r="CY324" i="1" s="1"/>
  <c r="X324" i="1" s="1"/>
  <c r="AC324" i="1"/>
  <c r="AB324" i="1" s="1"/>
  <c r="AE324" i="1"/>
  <c r="AD324" i="1" s="1"/>
  <c r="AF324" i="1"/>
  <c r="AG324" i="1"/>
  <c r="CU324" i="1" s="1"/>
  <c r="T324" i="1" s="1"/>
  <c r="AH324" i="1"/>
  <c r="AI324" i="1"/>
  <c r="AJ324" i="1"/>
  <c r="CR324" i="1"/>
  <c r="CS324" i="1"/>
  <c r="CT324" i="1"/>
  <c r="CV324" i="1"/>
  <c r="U324" i="1" s="1"/>
  <c r="CW324" i="1"/>
  <c r="V324" i="1" s="1"/>
  <c r="CX324" i="1"/>
  <c r="W324" i="1" s="1"/>
  <c r="FR324" i="1"/>
  <c r="GK324" i="1"/>
  <c r="GL324" i="1"/>
  <c r="GO324" i="1"/>
  <c r="GP324" i="1"/>
  <c r="GV324" i="1"/>
  <c r="HC324" i="1"/>
  <c r="GX324" i="1" s="1"/>
  <c r="B326" i="1"/>
  <c r="C326" i="1"/>
  <c r="C309" i="1" s="1"/>
  <c r="D326" i="1"/>
  <c r="D309" i="1" s="1"/>
  <c r="F326" i="1"/>
  <c r="F309" i="1" s="1"/>
  <c r="G326" i="1"/>
  <c r="G309" i="1" s="1"/>
  <c r="AO326" i="1"/>
  <c r="AO309" i="1" s="1"/>
  <c r="BX326" i="1"/>
  <c r="BX309" i="1" s="1"/>
  <c r="CK326" i="1"/>
  <c r="BB326" i="1" s="1"/>
  <c r="CL326" i="1"/>
  <c r="CL309" i="1" s="1"/>
  <c r="CM326" i="1"/>
  <c r="BD326" i="1" s="1"/>
  <c r="D356" i="1"/>
  <c r="E358" i="1"/>
  <c r="F358" i="1"/>
  <c r="Z358" i="1"/>
  <c r="AA358" i="1"/>
  <c r="AM358" i="1"/>
  <c r="AN358" i="1"/>
  <c r="BE358" i="1"/>
  <c r="BF358" i="1"/>
  <c r="BG358" i="1"/>
  <c r="BH358" i="1"/>
  <c r="BI358" i="1"/>
  <c r="BJ358" i="1"/>
  <c r="BK358" i="1"/>
  <c r="BL358" i="1"/>
  <c r="BM358" i="1"/>
  <c r="BN358" i="1"/>
  <c r="BO358" i="1"/>
  <c r="BP358" i="1"/>
  <c r="BQ358" i="1"/>
  <c r="BR358" i="1"/>
  <c r="BS358" i="1"/>
  <c r="BT358" i="1"/>
  <c r="BU358" i="1"/>
  <c r="BV358" i="1"/>
  <c r="BW358" i="1"/>
  <c r="CN358" i="1"/>
  <c r="CO358" i="1"/>
  <c r="CP358" i="1"/>
  <c r="CQ358" i="1"/>
  <c r="CR358" i="1"/>
  <c r="CS358" i="1"/>
  <c r="CT358" i="1"/>
  <c r="CU358" i="1"/>
  <c r="CV358" i="1"/>
  <c r="CW358" i="1"/>
  <c r="CX358" i="1"/>
  <c r="CY358" i="1"/>
  <c r="CZ358" i="1"/>
  <c r="DA358" i="1"/>
  <c r="DB358" i="1"/>
  <c r="DC358" i="1"/>
  <c r="DD358" i="1"/>
  <c r="DE358" i="1"/>
  <c r="DF358" i="1"/>
  <c r="DG358" i="1"/>
  <c r="DH358" i="1"/>
  <c r="DI358" i="1"/>
  <c r="DJ358" i="1"/>
  <c r="DK358" i="1"/>
  <c r="DL358" i="1"/>
  <c r="DM358" i="1"/>
  <c r="DN358" i="1"/>
  <c r="DO358" i="1"/>
  <c r="DP358" i="1"/>
  <c r="DQ358" i="1"/>
  <c r="DR358" i="1"/>
  <c r="DS358" i="1"/>
  <c r="DT358" i="1"/>
  <c r="DU358" i="1"/>
  <c r="DV358" i="1"/>
  <c r="DW358" i="1"/>
  <c r="DX358" i="1"/>
  <c r="DY358" i="1"/>
  <c r="DZ358" i="1"/>
  <c r="EA358" i="1"/>
  <c r="EB358" i="1"/>
  <c r="EC358" i="1"/>
  <c r="ED358" i="1"/>
  <c r="EE358" i="1"/>
  <c r="EF358" i="1"/>
  <c r="EG358" i="1"/>
  <c r="EH358" i="1"/>
  <c r="EI358" i="1"/>
  <c r="EJ358" i="1"/>
  <c r="EK358" i="1"/>
  <c r="EL358" i="1"/>
  <c r="EM358" i="1"/>
  <c r="EN358" i="1"/>
  <c r="EO358" i="1"/>
  <c r="EP358" i="1"/>
  <c r="EQ358" i="1"/>
  <c r="ER358" i="1"/>
  <c r="ES358" i="1"/>
  <c r="ET358" i="1"/>
  <c r="EU358" i="1"/>
  <c r="EV358" i="1"/>
  <c r="EW358" i="1"/>
  <c r="EX358" i="1"/>
  <c r="EY358" i="1"/>
  <c r="EZ358" i="1"/>
  <c r="FA358" i="1"/>
  <c r="FB358" i="1"/>
  <c r="FC358" i="1"/>
  <c r="FD358" i="1"/>
  <c r="FE358" i="1"/>
  <c r="FF358" i="1"/>
  <c r="FG358" i="1"/>
  <c r="FH358" i="1"/>
  <c r="FI358" i="1"/>
  <c r="FJ358" i="1"/>
  <c r="FK358" i="1"/>
  <c r="FL358" i="1"/>
  <c r="FM358" i="1"/>
  <c r="FN358" i="1"/>
  <c r="FO358" i="1"/>
  <c r="FP358" i="1"/>
  <c r="FQ358" i="1"/>
  <c r="FR358" i="1"/>
  <c r="FS358" i="1"/>
  <c r="FT358" i="1"/>
  <c r="FU358" i="1"/>
  <c r="FV358" i="1"/>
  <c r="FW358" i="1"/>
  <c r="FX358" i="1"/>
  <c r="FY358" i="1"/>
  <c r="FZ358" i="1"/>
  <c r="GA358" i="1"/>
  <c r="GB358" i="1"/>
  <c r="GC358" i="1"/>
  <c r="GD358" i="1"/>
  <c r="GE358" i="1"/>
  <c r="GF358" i="1"/>
  <c r="GG358" i="1"/>
  <c r="GH358" i="1"/>
  <c r="GI358" i="1"/>
  <c r="GJ358" i="1"/>
  <c r="GK358" i="1"/>
  <c r="GL358" i="1"/>
  <c r="GM358" i="1"/>
  <c r="GN358" i="1"/>
  <c r="GO358" i="1"/>
  <c r="GP358" i="1"/>
  <c r="GQ358" i="1"/>
  <c r="GR358" i="1"/>
  <c r="GS358" i="1"/>
  <c r="GT358" i="1"/>
  <c r="GU358" i="1"/>
  <c r="GV358" i="1"/>
  <c r="GW358" i="1"/>
  <c r="GX358" i="1"/>
  <c r="D360" i="1"/>
  <c r="P360" i="1"/>
  <c r="CP360" i="1" s="1"/>
  <c r="O360" i="1" s="1"/>
  <c r="R360" i="1"/>
  <c r="S360" i="1"/>
  <c r="CZ360" i="1" s="1"/>
  <c r="Y360" i="1" s="1"/>
  <c r="AC360" i="1"/>
  <c r="AB360" i="1" s="1"/>
  <c r="AD360" i="1"/>
  <c r="AE360" i="1"/>
  <c r="Q360" i="1" s="1"/>
  <c r="AF360" i="1"/>
  <c r="AG360" i="1"/>
  <c r="AH360" i="1"/>
  <c r="CV360" i="1" s="1"/>
  <c r="U360" i="1" s="1"/>
  <c r="AI360" i="1"/>
  <c r="AJ360" i="1"/>
  <c r="CQ360" i="1"/>
  <c r="CR360" i="1"/>
  <c r="CS360" i="1"/>
  <c r="CT360" i="1"/>
  <c r="CU360" i="1"/>
  <c r="T360" i="1" s="1"/>
  <c r="CW360" i="1"/>
  <c r="V360" i="1" s="1"/>
  <c r="CX360" i="1"/>
  <c r="W360" i="1" s="1"/>
  <c r="CY360" i="1"/>
  <c r="X360" i="1" s="1"/>
  <c r="FR360" i="1"/>
  <c r="GK360" i="1"/>
  <c r="GL360" i="1"/>
  <c r="BZ364" i="1" s="1"/>
  <c r="GO360" i="1"/>
  <c r="GP360" i="1"/>
  <c r="GV360" i="1"/>
  <c r="HC360" i="1"/>
  <c r="GX360" i="1" s="1"/>
  <c r="D361" i="1"/>
  <c r="P361" i="1"/>
  <c r="R361" i="1"/>
  <c r="GK361" i="1" s="1"/>
  <c r="AC361" i="1"/>
  <c r="AE361" i="1"/>
  <c r="Q361" i="1" s="1"/>
  <c r="AF361" i="1"/>
  <c r="S361" i="1" s="1"/>
  <c r="AG361" i="1"/>
  <c r="AH361" i="1"/>
  <c r="AI361" i="1"/>
  <c r="AJ361" i="1"/>
  <c r="CX361" i="1" s="1"/>
  <c r="W361" i="1" s="1"/>
  <c r="CQ361" i="1"/>
  <c r="CR361" i="1"/>
  <c r="CS361" i="1"/>
  <c r="CU361" i="1"/>
  <c r="T361" i="1" s="1"/>
  <c r="CV361" i="1"/>
  <c r="U361" i="1" s="1"/>
  <c r="CW361" i="1"/>
  <c r="V361" i="1" s="1"/>
  <c r="FR361" i="1"/>
  <c r="GL361" i="1"/>
  <c r="GN361" i="1"/>
  <c r="GO361" i="1"/>
  <c r="GV361" i="1"/>
  <c r="HC361" i="1" s="1"/>
  <c r="GX361" i="1" s="1"/>
  <c r="D362" i="1"/>
  <c r="P362" i="1"/>
  <c r="CP362" i="1" s="1"/>
  <c r="O362" i="1" s="1"/>
  <c r="GM362" i="1" s="1"/>
  <c r="GP362" i="1" s="1"/>
  <c r="R362" i="1"/>
  <c r="S362" i="1"/>
  <c r="CZ362" i="1" s="1"/>
  <c r="Y362" i="1" s="1"/>
  <c r="AC362" i="1"/>
  <c r="AB362" i="1" s="1"/>
  <c r="AD362" i="1"/>
  <c r="AE362" i="1"/>
  <c r="Q362" i="1" s="1"/>
  <c r="AF362" i="1"/>
  <c r="AG362" i="1"/>
  <c r="AH362" i="1"/>
  <c r="CV362" i="1" s="1"/>
  <c r="U362" i="1" s="1"/>
  <c r="AI362" i="1"/>
  <c r="AJ362" i="1"/>
  <c r="CQ362" i="1"/>
  <c r="CR362" i="1"/>
  <c r="CS362" i="1"/>
  <c r="CT362" i="1"/>
  <c r="CU362" i="1"/>
  <c r="T362" i="1" s="1"/>
  <c r="CW362" i="1"/>
  <c r="V362" i="1" s="1"/>
  <c r="CX362" i="1"/>
  <c r="W362" i="1" s="1"/>
  <c r="CY362" i="1"/>
  <c r="X362" i="1" s="1"/>
  <c r="FR362" i="1"/>
  <c r="GK362" i="1"/>
  <c r="GL362" i="1"/>
  <c r="GN362" i="1"/>
  <c r="GO362" i="1"/>
  <c r="GV362" i="1"/>
  <c r="HC362" i="1"/>
  <c r="GX362" i="1" s="1"/>
  <c r="B364" i="1"/>
  <c r="B358" i="1" s="1"/>
  <c r="C364" i="1"/>
  <c r="C358" i="1" s="1"/>
  <c r="D364" i="1"/>
  <c r="D358" i="1" s="1"/>
  <c r="F364" i="1"/>
  <c r="G364" i="1"/>
  <c r="G358" i="1" s="1"/>
  <c r="BX364" i="1"/>
  <c r="BX358" i="1" s="1"/>
  <c r="BY364" i="1"/>
  <c r="BY358" i="1" s="1"/>
  <c r="CC364" i="1"/>
  <c r="AT364" i="1" s="1"/>
  <c r="CK364" i="1"/>
  <c r="CK358" i="1" s="1"/>
  <c r="CL364" i="1"/>
  <c r="CL358" i="1" s="1"/>
  <c r="CM364" i="1"/>
  <c r="CM358" i="1" s="1"/>
  <c r="B394" i="1"/>
  <c r="B22" i="1" s="1"/>
  <c r="C394" i="1"/>
  <c r="C22" i="1" s="1"/>
  <c r="D394" i="1"/>
  <c r="D22" i="1" s="1"/>
  <c r="F394" i="1"/>
  <c r="F22" i="1" s="1"/>
  <c r="G394" i="1"/>
  <c r="G22" i="1" s="1"/>
  <c r="B427" i="1"/>
  <c r="B18" i="1" s="1"/>
  <c r="C427" i="1"/>
  <c r="C18" i="1" s="1"/>
  <c r="D427" i="1"/>
  <c r="D18" i="1" s="1"/>
  <c r="F427" i="1"/>
  <c r="F18" i="1" s="1"/>
  <c r="G427" i="1"/>
  <c r="G18" i="1" s="1"/>
  <c r="O642" i="6" l="1"/>
  <c r="X321" i="6"/>
  <c r="P441" i="6"/>
  <c r="J81" i="6"/>
  <c r="X441" i="6"/>
  <c r="J575" i="6"/>
  <c r="P398" i="6"/>
  <c r="P575" i="6"/>
  <c r="P307" i="6"/>
  <c r="J510" i="6"/>
  <c r="P207" i="6"/>
  <c r="H251" i="6"/>
  <c r="H456" i="6"/>
  <c r="O222" i="6"/>
  <c r="O192" i="6"/>
  <c r="P121" i="6"/>
  <c r="O237" i="6"/>
  <c r="J456" i="6"/>
  <c r="X95" i="6"/>
  <c r="X497" i="6"/>
  <c r="P266" i="6"/>
  <c r="J411" i="6"/>
  <c r="X484" i="6"/>
  <c r="P497" i="6"/>
  <c r="O135" i="6"/>
  <c r="J321" i="6"/>
  <c r="J135" i="6"/>
  <c r="H307" i="6"/>
  <c r="P109" i="6"/>
  <c r="H135" i="6"/>
  <c r="J121" i="6"/>
  <c r="H398" i="6"/>
  <c r="P642" i="6"/>
  <c r="O497" i="6"/>
  <c r="H95" i="6"/>
  <c r="X552" i="6"/>
  <c r="H497" i="6"/>
  <c r="H484" i="6"/>
  <c r="O266" i="6"/>
  <c r="P456" i="6"/>
  <c r="J307" i="6"/>
  <c r="O275" i="6"/>
  <c r="H510" i="6"/>
  <c r="H237" i="6"/>
  <c r="J441" i="6"/>
  <c r="X619" i="6"/>
  <c r="O251" i="6"/>
  <c r="H321" i="6"/>
  <c r="H642" i="6"/>
  <c r="O321" i="6"/>
  <c r="X642" i="6"/>
  <c r="X398" i="6"/>
  <c r="O628" i="6"/>
  <c r="X510" i="6"/>
  <c r="X109" i="6"/>
  <c r="P95" i="6"/>
  <c r="H619" i="6"/>
  <c r="P605" i="6"/>
  <c r="H222" i="6"/>
  <c r="J109" i="6"/>
  <c r="P135" i="6"/>
  <c r="P510" i="6"/>
  <c r="H628" i="6"/>
  <c r="O456" i="6"/>
  <c r="J470" i="6"/>
  <c r="P484" i="6"/>
  <c r="X266" i="6"/>
  <c r="X294" i="6"/>
  <c r="H605" i="6"/>
  <c r="P426" i="6"/>
  <c r="H121" i="6"/>
  <c r="J266" i="6"/>
  <c r="J294" i="6"/>
  <c r="O552" i="6"/>
  <c r="H266" i="6"/>
  <c r="J222" i="6"/>
  <c r="J619" i="6"/>
  <c r="X307" i="6"/>
  <c r="O540" i="6"/>
  <c r="H578" i="6" s="1"/>
  <c r="H552" i="6"/>
  <c r="P540" i="6"/>
  <c r="P619" i="6"/>
  <c r="O307" i="6"/>
  <c r="O441" i="6"/>
  <c r="P294" i="6"/>
  <c r="X275" i="6"/>
  <c r="H109" i="6"/>
  <c r="J552" i="6"/>
  <c r="O294" i="6"/>
  <c r="X121" i="6"/>
  <c r="X237" i="6"/>
  <c r="O605" i="6"/>
  <c r="H426" i="6"/>
  <c r="H294" i="6"/>
  <c r="J484" i="6"/>
  <c r="P222" i="6"/>
  <c r="O121" i="6"/>
  <c r="H138" i="6" s="1"/>
  <c r="O411" i="6"/>
  <c r="H513" i="6" s="1"/>
  <c r="H207" i="6"/>
  <c r="X605" i="6"/>
  <c r="H192" i="6"/>
  <c r="J605" i="6"/>
  <c r="X411" i="6"/>
  <c r="O207" i="6"/>
  <c r="X192" i="6"/>
  <c r="O426" i="6"/>
  <c r="J642" i="6"/>
  <c r="P552" i="6"/>
  <c r="J138" i="6"/>
  <c r="J237" i="6"/>
  <c r="P470" i="6"/>
  <c r="I27" i="6"/>
  <c r="AB364" i="1"/>
  <c r="GM360" i="1"/>
  <c r="CC309" i="1"/>
  <c r="AT326" i="1"/>
  <c r="CP361" i="1"/>
  <c r="O361" i="1" s="1"/>
  <c r="AG364" i="1"/>
  <c r="F339" i="1"/>
  <c r="BB309" i="1"/>
  <c r="AB322" i="1"/>
  <c r="CZ315" i="1"/>
  <c r="Y315" i="1" s="1"/>
  <c r="CY315" i="1"/>
  <c r="X315" i="1" s="1"/>
  <c r="CI326" i="1"/>
  <c r="BY309" i="1"/>
  <c r="AP326" i="1"/>
  <c r="BZ309" i="1"/>
  <c r="AQ326" i="1"/>
  <c r="W321" i="1"/>
  <c r="CP312" i="1"/>
  <c r="O312" i="1" s="1"/>
  <c r="GM312" i="1" s="1"/>
  <c r="GN312" i="1" s="1"/>
  <c r="CY311" i="1"/>
  <c r="X311" i="1" s="1"/>
  <c r="CZ311" i="1"/>
  <c r="Y311" i="1" s="1"/>
  <c r="AO264" i="1"/>
  <c r="F281" i="1"/>
  <c r="U272" i="1"/>
  <c r="AB270" i="1"/>
  <c r="BZ264" i="1"/>
  <c r="AQ277" i="1"/>
  <c r="T268" i="1"/>
  <c r="CZ267" i="1"/>
  <c r="Y267" i="1" s="1"/>
  <c r="CY267" i="1"/>
  <c r="X267" i="1" s="1"/>
  <c r="AB230" i="1"/>
  <c r="CC190" i="1"/>
  <c r="AT232" i="1"/>
  <c r="AB229" i="1"/>
  <c r="CP227" i="1"/>
  <c r="O227" i="1" s="1"/>
  <c r="GM227" i="1" s="1"/>
  <c r="GN227" i="1" s="1"/>
  <c r="CZ222" i="1"/>
  <c r="Y222" i="1" s="1"/>
  <c r="CY222" i="1"/>
  <c r="X222" i="1" s="1"/>
  <c r="CZ313" i="1"/>
  <c r="Y313" i="1" s="1"/>
  <c r="CY313" i="1"/>
  <c r="X313" i="1" s="1"/>
  <c r="AB323" i="1"/>
  <c r="CP320" i="1"/>
  <c r="O320" i="1" s="1"/>
  <c r="AT358" i="1"/>
  <c r="F382" i="1"/>
  <c r="CJ364" i="1"/>
  <c r="BZ358" i="1"/>
  <c r="AQ364" i="1"/>
  <c r="CG364" i="1"/>
  <c r="AJ364" i="1"/>
  <c r="AD364" i="1"/>
  <c r="BD309" i="1"/>
  <c r="F351" i="1"/>
  <c r="V321" i="1"/>
  <c r="U321" i="1"/>
  <c r="CP314" i="1"/>
  <c r="O314" i="1" s="1"/>
  <c r="GM314" i="1" s="1"/>
  <c r="GN314" i="1" s="1"/>
  <c r="CD309" i="1"/>
  <c r="AU326" i="1"/>
  <c r="F302" i="1"/>
  <c r="BD264" i="1"/>
  <c r="GX272" i="1"/>
  <c r="CZ271" i="1"/>
  <c r="Y271" i="1" s="1"/>
  <c r="CY271" i="1"/>
  <c r="X271" i="1" s="1"/>
  <c r="CP267" i="1"/>
  <c r="O267" i="1" s="1"/>
  <c r="GM267" i="1" s="1"/>
  <c r="GN267" i="1" s="1"/>
  <c r="W228" i="1"/>
  <c r="CY225" i="1"/>
  <c r="X225" i="1" s="1"/>
  <c r="CZ225" i="1"/>
  <c r="Y225" i="1" s="1"/>
  <c r="CP222" i="1"/>
  <c r="O222" i="1" s="1"/>
  <c r="GM222" i="1" s="1"/>
  <c r="GN222" i="1" s="1"/>
  <c r="AI364" i="1"/>
  <c r="CZ320" i="1"/>
  <c r="Y320" i="1" s="1"/>
  <c r="CY320" i="1"/>
  <c r="X320" i="1" s="1"/>
  <c r="CP271" i="1"/>
  <c r="O271" i="1" s="1"/>
  <c r="CD264" i="1"/>
  <c r="AU277" i="1"/>
  <c r="W268" i="1"/>
  <c r="CI277" i="1"/>
  <c r="AP277" i="1"/>
  <c r="BY264" i="1"/>
  <c r="T230" i="1"/>
  <c r="AH364" i="1"/>
  <c r="AF364" i="1"/>
  <c r="CY361" i="1"/>
  <c r="X361" i="1" s="1"/>
  <c r="AK364" i="1" s="1"/>
  <c r="CZ361" i="1"/>
  <c r="Y361" i="1" s="1"/>
  <c r="AL364" i="1" s="1"/>
  <c r="BB264" i="1"/>
  <c r="F290" i="1"/>
  <c r="U274" i="1"/>
  <c r="AB269" i="1"/>
  <c r="V268" i="1"/>
  <c r="U268" i="1"/>
  <c r="AH277" i="1" s="1"/>
  <c r="AT277" i="1"/>
  <c r="CC264" i="1"/>
  <c r="AB266" i="1"/>
  <c r="GX228" i="1"/>
  <c r="T228" i="1"/>
  <c r="CZ227" i="1"/>
  <c r="Y227" i="1" s="1"/>
  <c r="CY227" i="1"/>
  <c r="X227" i="1" s="1"/>
  <c r="AB225" i="1"/>
  <c r="CZ224" i="1"/>
  <c r="Y224" i="1" s="1"/>
  <c r="CY224" i="1"/>
  <c r="X224" i="1" s="1"/>
  <c r="AB221" i="1"/>
  <c r="CC358" i="1"/>
  <c r="AE364" i="1"/>
  <c r="CI364" i="1"/>
  <c r="BD364" i="1"/>
  <c r="AD361" i="1"/>
  <c r="AB361" i="1" s="1"/>
  <c r="F330" i="1"/>
  <c r="BC326" i="1"/>
  <c r="CZ324" i="1"/>
  <c r="Y324" i="1" s="1"/>
  <c r="CZ322" i="1"/>
  <c r="Y322" i="1" s="1"/>
  <c r="Q322" i="1"/>
  <c r="CW333" i="3"/>
  <c r="CX336" i="3"/>
  <c r="CU332" i="3"/>
  <c r="CX333" i="3"/>
  <c r="CX337" i="3"/>
  <c r="I321" i="1"/>
  <c r="T321" i="1" s="1"/>
  <c r="AD320" i="1"/>
  <c r="AB320" i="1" s="1"/>
  <c r="CZ319" i="1"/>
  <c r="Y319" i="1" s="1"/>
  <c r="CZ317" i="1"/>
  <c r="Y317" i="1" s="1"/>
  <c r="Q317" i="1"/>
  <c r="CU324" i="3"/>
  <c r="CX325" i="3"/>
  <c r="CV324" i="3"/>
  <c r="CX326" i="3"/>
  <c r="CX324" i="3"/>
  <c r="P315" i="1"/>
  <c r="CP315" i="1" s="1"/>
  <c r="O315" i="1" s="1"/>
  <c r="GM315" i="1" s="1"/>
  <c r="GN315" i="1" s="1"/>
  <c r="P313" i="1"/>
  <c r="CP313" i="1" s="1"/>
  <c r="O313" i="1" s="1"/>
  <c r="GM313" i="1" s="1"/>
  <c r="GN313" i="1" s="1"/>
  <c r="CM309" i="1"/>
  <c r="BC277" i="1"/>
  <c r="CZ275" i="1"/>
  <c r="Y275" i="1" s="1"/>
  <c r="CZ273" i="1"/>
  <c r="Y273" i="1" s="1"/>
  <c r="Q273" i="1"/>
  <c r="CX308" i="3"/>
  <c r="CW306" i="3"/>
  <c r="CX309" i="3"/>
  <c r="CU305" i="3"/>
  <c r="I272" i="1"/>
  <c r="AD271" i="1"/>
  <c r="AB271" i="1" s="1"/>
  <c r="CZ270" i="1"/>
  <c r="Y270" i="1" s="1"/>
  <c r="I268" i="1"/>
  <c r="AD267" i="1"/>
  <c r="AB267" i="1" s="1"/>
  <c r="CZ266" i="1"/>
  <c r="Y266" i="1" s="1"/>
  <c r="Q266" i="1"/>
  <c r="CU272" i="3"/>
  <c r="CX282" i="3"/>
  <c r="CV272" i="3"/>
  <c r="CW274" i="3"/>
  <c r="CW276" i="3"/>
  <c r="CX272" i="3"/>
  <c r="CX274" i="3"/>
  <c r="CX276" i="3"/>
  <c r="CX279" i="3"/>
  <c r="CK264" i="1"/>
  <c r="AO232" i="1"/>
  <c r="CZ229" i="1"/>
  <c r="Y229" i="1" s="1"/>
  <c r="Q229" i="1"/>
  <c r="CU265" i="3"/>
  <c r="CW267" i="3"/>
  <c r="CW266" i="3"/>
  <c r="CW268" i="3"/>
  <c r="CX270" i="3"/>
  <c r="CX267" i="3"/>
  <c r="CX269" i="3"/>
  <c r="I228" i="1"/>
  <c r="U228" i="1" s="1"/>
  <c r="AD227" i="1"/>
  <c r="AB227" i="1" s="1"/>
  <c r="P224" i="1"/>
  <c r="CP224" i="1" s="1"/>
  <c r="O224" i="1" s="1"/>
  <c r="GM224" i="1" s="1"/>
  <c r="GN224" i="1" s="1"/>
  <c r="I223" i="1"/>
  <c r="GX223" i="1" s="1"/>
  <c r="AD222" i="1"/>
  <c r="AB222" i="1" s="1"/>
  <c r="CZ221" i="1"/>
  <c r="Y221" i="1" s="1"/>
  <c r="Q220" i="1"/>
  <c r="CP220" i="1" s="1"/>
  <c r="O220" i="1" s="1"/>
  <c r="CY219" i="1"/>
  <c r="X219" i="1" s="1"/>
  <c r="P219" i="1"/>
  <c r="CP219" i="1" s="1"/>
  <c r="O219" i="1" s="1"/>
  <c r="CS218" i="1"/>
  <c r="CS217" i="1"/>
  <c r="P217" i="1"/>
  <c r="GX215" i="1"/>
  <c r="CR215" i="1"/>
  <c r="T215" i="1"/>
  <c r="R215" i="1"/>
  <c r="GK215" i="1" s="1"/>
  <c r="T214" i="1"/>
  <c r="P214" i="1"/>
  <c r="CQ214" i="1"/>
  <c r="S214" i="1"/>
  <c r="T212" i="1"/>
  <c r="P212" i="1"/>
  <c r="CQ212" i="1"/>
  <c r="S212" i="1"/>
  <c r="GX211" i="1"/>
  <c r="W211" i="1"/>
  <c r="S211" i="1"/>
  <c r="Q211" i="1"/>
  <c r="CP211" i="1" s="1"/>
  <c r="O211" i="1" s="1"/>
  <c r="CY209" i="1"/>
  <c r="X209" i="1" s="1"/>
  <c r="CS208" i="1"/>
  <c r="P208" i="1"/>
  <c r="GX204" i="1"/>
  <c r="W204" i="1"/>
  <c r="AB204" i="1"/>
  <c r="CP156" i="1"/>
  <c r="O156" i="1" s="1"/>
  <c r="S155" i="1"/>
  <c r="P155" i="1"/>
  <c r="Q155" i="1"/>
  <c r="T152" i="1"/>
  <c r="V152" i="1"/>
  <c r="CP149" i="1"/>
  <c r="O149" i="1" s="1"/>
  <c r="CP148" i="1"/>
  <c r="O148" i="1" s="1"/>
  <c r="CZ147" i="1"/>
  <c r="Y147" i="1" s="1"/>
  <c r="CY147" i="1"/>
  <c r="X147" i="1" s="1"/>
  <c r="BB364" i="1"/>
  <c r="AP364" i="1"/>
  <c r="BC364" i="1"/>
  <c r="AC364" i="1"/>
  <c r="CT361" i="1"/>
  <c r="CG326" i="1"/>
  <c r="CQ324" i="1"/>
  <c r="P324" i="1"/>
  <c r="CP324" i="1" s="1"/>
  <c r="O324" i="1" s="1"/>
  <c r="GM324" i="1" s="1"/>
  <c r="GN324" i="1" s="1"/>
  <c r="CS323" i="1"/>
  <c r="I323" i="1"/>
  <c r="W323" i="1" s="1"/>
  <c r="CQ322" i="1"/>
  <c r="P322" i="1"/>
  <c r="CT320" i="1"/>
  <c r="CQ319" i="1"/>
  <c r="P319" i="1"/>
  <c r="CP319" i="1" s="1"/>
  <c r="O319" i="1" s="1"/>
  <c r="GM319" i="1" s="1"/>
  <c r="GN319" i="1" s="1"/>
  <c r="CS318" i="1"/>
  <c r="I318" i="1"/>
  <c r="W318" i="1" s="1"/>
  <c r="CQ317" i="1"/>
  <c r="P317" i="1"/>
  <c r="CP317" i="1" s="1"/>
  <c r="O317" i="1" s="1"/>
  <c r="CT315" i="1"/>
  <c r="CT313" i="1"/>
  <c r="CV313" i="3"/>
  <c r="CW315" i="3"/>
  <c r="CW317" i="3"/>
  <c r="CX320" i="3"/>
  <c r="CX313" i="3"/>
  <c r="CX315" i="3"/>
  <c r="CX317" i="3"/>
  <c r="CX321" i="3"/>
  <c r="CU313" i="3"/>
  <c r="CS311" i="1"/>
  <c r="R311" i="1"/>
  <c r="CG277" i="1"/>
  <c r="CQ275" i="1"/>
  <c r="P275" i="1"/>
  <c r="CP275" i="1" s="1"/>
  <c r="O275" i="1" s="1"/>
  <c r="CS274" i="1"/>
  <c r="R274" i="1"/>
  <c r="GK274" i="1" s="1"/>
  <c r="I274" i="1"/>
  <c r="GX274" i="1" s="1"/>
  <c r="CQ273" i="1"/>
  <c r="P273" i="1"/>
  <c r="CP273" i="1" s="1"/>
  <c r="O273" i="1" s="1"/>
  <c r="GM273" i="1" s="1"/>
  <c r="GN273" i="1" s="1"/>
  <c r="CT271" i="1"/>
  <c r="CQ270" i="1"/>
  <c r="P270" i="1"/>
  <c r="CP270" i="1" s="1"/>
  <c r="O270" i="1" s="1"/>
  <c r="CS269" i="1"/>
  <c r="R269" i="1"/>
  <c r="GK269" i="1" s="1"/>
  <c r="CT267" i="1"/>
  <c r="CQ266" i="1"/>
  <c r="P266" i="1"/>
  <c r="BX264" i="1"/>
  <c r="CI232" i="1"/>
  <c r="BD232" i="1"/>
  <c r="CS230" i="1"/>
  <c r="R230" i="1"/>
  <c r="GK230" i="1" s="1"/>
  <c r="I230" i="1"/>
  <c r="V230" i="1" s="1"/>
  <c r="CQ229" i="1"/>
  <c r="P229" i="1"/>
  <c r="CP229" i="1" s="1"/>
  <c r="O229" i="1" s="1"/>
  <c r="GM229" i="1" s="1"/>
  <c r="GN229" i="1" s="1"/>
  <c r="CT227" i="1"/>
  <c r="CQ226" i="1"/>
  <c r="CS225" i="1"/>
  <c r="R225" i="1"/>
  <c r="GK225" i="1" s="1"/>
  <c r="CT224" i="1"/>
  <c r="CT222" i="1"/>
  <c r="CQ221" i="1"/>
  <c r="P221" i="1"/>
  <c r="CP221" i="1" s="1"/>
  <c r="O221" i="1" s="1"/>
  <c r="GM221" i="1" s="1"/>
  <c r="GN221" i="1" s="1"/>
  <c r="W220" i="1"/>
  <c r="S220" i="1"/>
  <c r="CT220" i="1"/>
  <c r="U218" i="1"/>
  <c r="AD218" i="1"/>
  <c r="CR217" i="1"/>
  <c r="T217" i="1"/>
  <c r="R217" i="1"/>
  <c r="GK217" i="1" s="1"/>
  <c r="AB216" i="1"/>
  <c r="W215" i="1"/>
  <c r="S215" i="1"/>
  <c r="CP215" i="1" s="1"/>
  <c r="O215" i="1" s="1"/>
  <c r="CT215" i="1"/>
  <c r="AB214" i="1"/>
  <c r="R214" i="1"/>
  <c r="GK214" i="1" s="1"/>
  <c r="V213" i="1"/>
  <c r="R213" i="1"/>
  <c r="GK213" i="1" s="1"/>
  <c r="CS213" i="1"/>
  <c r="AB212" i="1"/>
  <c r="R212" i="1"/>
  <c r="GK212" i="1" s="1"/>
  <c r="V211" i="1"/>
  <c r="R211" i="1"/>
  <c r="GK211" i="1" s="1"/>
  <c r="CS211" i="1"/>
  <c r="CS210" i="1"/>
  <c r="P210" i="1"/>
  <c r="CP210" i="1" s="1"/>
  <c r="O210" i="1" s="1"/>
  <c r="CQ209" i="1"/>
  <c r="CR208" i="1"/>
  <c r="T208" i="1"/>
  <c r="R208" i="1"/>
  <c r="GK208" i="1" s="1"/>
  <c r="AB207" i="1"/>
  <c r="R206" i="1"/>
  <c r="GK206" i="1" s="1"/>
  <c r="CS206" i="1"/>
  <c r="CP206" i="1"/>
  <c r="O206" i="1" s="1"/>
  <c r="GM206" i="1" s="1"/>
  <c r="GN206" i="1" s="1"/>
  <c r="P205" i="1"/>
  <c r="CQ205" i="1"/>
  <c r="S205" i="1"/>
  <c r="AB202" i="1"/>
  <c r="CQ202" i="1"/>
  <c r="CP200" i="1"/>
  <c r="O200" i="1" s="1"/>
  <c r="CP199" i="1"/>
  <c r="O199" i="1" s="1"/>
  <c r="GM199" i="1" s="1"/>
  <c r="GN199" i="1" s="1"/>
  <c r="CP196" i="1"/>
  <c r="O196" i="1" s="1"/>
  <c r="CP154" i="1"/>
  <c r="O154" i="1" s="1"/>
  <c r="CY140" i="1"/>
  <c r="X140" i="1" s="1"/>
  <c r="CZ140" i="1"/>
  <c r="Y140" i="1" s="1"/>
  <c r="Q311" i="1"/>
  <c r="CU312" i="3"/>
  <c r="CV312" i="3"/>
  <c r="CX312" i="3"/>
  <c r="Q269" i="1"/>
  <c r="CP269" i="1" s="1"/>
  <c r="O269" i="1" s="1"/>
  <c r="GM269" i="1" s="1"/>
  <c r="GN269" i="1" s="1"/>
  <c r="CM264" i="1"/>
  <c r="BC232" i="1"/>
  <c r="AU232" i="1"/>
  <c r="AQ232" i="1"/>
  <c r="Q225" i="1"/>
  <c r="CU253" i="3"/>
  <c r="CX257" i="3"/>
  <c r="CW254" i="3"/>
  <c r="CX256" i="3"/>
  <c r="CX254" i="3"/>
  <c r="GX218" i="1"/>
  <c r="AB218" i="1"/>
  <c r="S217" i="1"/>
  <c r="CT217" i="1"/>
  <c r="S208" i="1"/>
  <c r="CT208" i="1"/>
  <c r="S204" i="1"/>
  <c r="Q204" i="1"/>
  <c r="CZ156" i="1"/>
  <c r="Y156" i="1" s="1"/>
  <c r="CY156" i="1"/>
  <c r="X156" i="1" s="1"/>
  <c r="CY150" i="1"/>
  <c r="X150" i="1" s="1"/>
  <c r="CZ150" i="1"/>
  <c r="Y150" i="1" s="1"/>
  <c r="P152" i="1"/>
  <c r="Q152" i="1"/>
  <c r="CZ149" i="1"/>
  <c r="Y149" i="1" s="1"/>
  <c r="CY149" i="1"/>
  <c r="X149" i="1" s="1"/>
  <c r="AO364" i="1"/>
  <c r="CU329" i="3"/>
  <c r="CX331" i="3"/>
  <c r="CV329" i="3"/>
  <c r="CX329" i="3"/>
  <c r="P311" i="1"/>
  <c r="CX303" i="3"/>
  <c r="CU302" i="3"/>
  <c r="CX304" i="3"/>
  <c r="CX283" i="3"/>
  <c r="CW286" i="3"/>
  <c r="CX288" i="3"/>
  <c r="CV283" i="3"/>
  <c r="CW285" i="3"/>
  <c r="CW287" i="3"/>
  <c r="CX290" i="3"/>
  <c r="CX293" i="3"/>
  <c r="CX284" i="3"/>
  <c r="CX286" i="3"/>
  <c r="CU283" i="3"/>
  <c r="CX289" i="3"/>
  <c r="CG232" i="1"/>
  <c r="BB232" i="1"/>
  <c r="AP232" i="1"/>
  <c r="CU258" i="3"/>
  <c r="CW260" i="3"/>
  <c r="CX262" i="3"/>
  <c r="CW259" i="3"/>
  <c r="CW261" i="3"/>
  <c r="CX264" i="3"/>
  <c r="CX260" i="3"/>
  <c r="CX263" i="3"/>
  <c r="I226" i="1"/>
  <c r="T226" i="1" s="1"/>
  <c r="P225" i="1"/>
  <c r="CP225" i="1" s="1"/>
  <c r="O225" i="1" s="1"/>
  <c r="GM225" i="1" s="1"/>
  <c r="GN225" i="1" s="1"/>
  <c r="CU243" i="3"/>
  <c r="CX244" i="3"/>
  <c r="CX246" i="3"/>
  <c r="CX248" i="3"/>
  <c r="CV243" i="3"/>
  <c r="CX243" i="3"/>
  <c r="CW244" i="3"/>
  <c r="CW248" i="3"/>
  <c r="CW245" i="3"/>
  <c r="CW247" i="3"/>
  <c r="CX252" i="3"/>
  <c r="CR220" i="1"/>
  <c r="AD220" i="1"/>
  <c r="AB220" i="1" s="1"/>
  <c r="CS215" i="1"/>
  <c r="CU226" i="3"/>
  <c r="CX226" i="3"/>
  <c r="CX228" i="3"/>
  <c r="CX230" i="3"/>
  <c r="CX231" i="3"/>
  <c r="I216" i="1"/>
  <c r="I218" i="1"/>
  <c r="V218" i="1" s="1"/>
  <c r="CU217" i="3"/>
  <c r="CX217" i="3"/>
  <c r="CX219" i="3"/>
  <c r="CX221" i="3"/>
  <c r="CX224" i="3"/>
  <c r="CV217" i="3"/>
  <c r="CW219" i="3"/>
  <c r="CW221" i="3"/>
  <c r="I213" i="1"/>
  <c r="S210" i="1"/>
  <c r="CT210" i="1"/>
  <c r="P209" i="1"/>
  <c r="CP209" i="1" s="1"/>
  <c r="O209" i="1" s="1"/>
  <c r="U204" i="1"/>
  <c r="P204" i="1"/>
  <c r="CP204" i="1" s="1"/>
  <c r="O204" i="1" s="1"/>
  <c r="S203" i="1"/>
  <c r="CT203" i="1"/>
  <c r="CY201" i="1"/>
  <c r="X201" i="1" s="1"/>
  <c r="CZ201" i="1"/>
  <c r="Y201" i="1" s="1"/>
  <c r="CZ200" i="1"/>
  <c r="Y200" i="1" s="1"/>
  <c r="CY200" i="1"/>
  <c r="X200" i="1" s="1"/>
  <c r="CY197" i="1"/>
  <c r="X197" i="1" s="1"/>
  <c r="CZ197" i="1"/>
  <c r="Y197" i="1" s="1"/>
  <c r="CZ196" i="1"/>
  <c r="Y196" i="1" s="1"/>
  <c r="CY196" i="1"/>
  <c r="X196" i="1" s="1"/>
  <c r="CP193" i="1"/>
  <c r="O193" i="1" s="1"/>
  <c r="CZ154" i="1"/>
  <c r="Y154" i="1" s="1"/>
  <c r="CY154" i="1"/>
  <c r="X154" i="1" s="1"/>
  <c r="U152" i="1"/>
  <c r="W152" i="1"/>
  <c r="S152" i="1"/>
  <c r="V145" i="1"/>
  <c r="CP144" i="1"/>
  <c r="O144" i="1" s="1"/>
  <c r="CC95" i="1"/>
  <c r="AT158" i="1"/>
  <c r="CV233" i="3"/>
  <c r="CW235" i="3"/>
  <c r="CW237" i="3"/>
  <c r="CX239" i="3"/>
  <c r="CX233" i="3"/>
  <c r="CX235" i="3"/>
  <c r="CX237" i="3"/>
  <c r="CX240" i="3"/>
  <c r="CU233" i="3"/>
  <c r="CQ217" i="1"/>
  <c r="CS216" i="1"/>
  <c r="CQ215" i="1"/>
  <c r="CT213" i="1"/>
  <c r="CT211" i="1"/>
  <c r="CQ210" i="1"/>
  <c r="CS209" i="1"/>
  <c r="CQ208" i="1"/>
  <c r="CS207" i="1"/>
  <c r="R207" i="1"/>
  <c r="GK207" i="1" s="1"/>
  <c r="GM207" i="1" s="1"/>
  <c r="GN207" i="1" s="1"/>
  <c r="CT206" i="1"/>
  <c r="CX203" i="3"/>
  <c r="CX206" i="3"/>
  <c r="CX204" i="3"/>
  <c r="CU203" i="3"/>
  <c r="CX207" i="3"/>
  <c r="CV203" i="3"/>
  <c r="CS204" i="1"/>
  <c r="CQ203" i="1"/>
  <c r="AD203" i="1"/>
  <c r="AB203" i="1" s="1"/>
  <c r="CT201" i="1"/>
  <c r="CQ200" i="1"/>
  <c r="CS199" i="1"/>
  <c r="R199" i="1"/>
  <c r="GK199" i="1" s="1"/>
  <c r="CT197" i="1"/>
  <c r="CQ196" i="1"/>
  <c r="AD196" i="1"/>
  <c r="AB196" i="1" s="1"/>
  <c r="CZ195" i="1"/>
  <c r="Y195" i="1" s="1"/>
  <c r="CZ194" i="1"/>
  <c r="Y194" i="1" s="1"/>
  <c r="CU184" i="3"/>
  <c r="CV184" i="3"/>
  <c r="CX185" i="3"/>
  <c r="CS193" i="1"/>
  <c r="R193" i="1"/>
  <c r="CG158" i="1"/>
  <c r="BB158" i="1"/>
  <c r="AP158" i="1"/>
  <c r="CQ156" i="1"/>
  <c r="CS155" i="1"/>
  <c r="CQ154" i="1"/>
  <c r="AD154" i="1"/>
  <c r="AB154" i="1" s="1"/>
  <c r="CT152" i="1"/>
  <c r="CT150" i="1"/>
  <c r="CQ149" i="1"/>
  <c r="CS148" i="1"/>
  <c r="R148" i="1"/>
  <c r="GK148" i="1" s="1"/>
  <c r="Q144" i="1"/>
  <c r="R143" i="1"/>
  <c r="GK143" i="1" s="1"/>
  <c r="P142" i="1"/>
  <c r="CP142" i="1" s="1"/>
  <c r="O142" i="1" s="1"/>
  <c r="GM142" i="1" s="1"/>
  <c r="GN142" i="1" s="1"/>
  <c r="P140" i="1"/>
  <c r="CQ140" i="1"/>
  <c r="U138" i="1"/>
  <c r="Q136" i="1"/>
  <c r="P136" i="1"/>
  <c r="CP135" i="1"/>
  <c r="O135" i="1" s="1"/>
  <c r="GM135" i="1" s="1"/>
  <c r="GN135" i="1" s="1"/>
  <c r="AD134" i="1"/>
  <c r="R134" i="1"/>
  <c r="GK134" i="1" s="1"/>
  <c r="GM134" i="1" s="1"/>
  <c r="GN134" i="1" s="1"/>
  <c r="CS134" i="1"/>
  <c r="AB133" i="1"/>
  <c r="P133" i="1"/>
  <c r="CP133" i="1" s="1"/>
  <c r="O133" i="1" s="1"/>
  <c r="CQ133" i="1"/>
  <c r="AB125" i="1"/>
  <c r="T124" i="1"/>
  <c r="T120" i="1"/>
  <c r="CZ119" i="1"/>
  <c r="Y119" i="1" s="1"/>
  <c r="CY119" i="1"/>
  <c r="X119" i="1" s="1"/>
  <c r="W117" i="1"/>
  <c r="AB117" i="1"/>
  <c r="CZ112" i="1"/>
  <c r="Y112" i="1" s="1"/>
  <c r="CY112" i="1"/>
  <c r="X112" i="1" s="1"/>
  <c r="AB108" i="1"/>
  <c r="W106" i="1"/>
  <c r="CZ105" i="1"/>
  <c r="Y105" i="1" s="1"/>
  <c r="CY105" i="1"/>
  <c r="X105" i="1" s="1"/>
  <c r="CX215" i="3"/>
  <c r="CW209" i="3"/>
  <c r="CW211" i="3"/>
  <c r="CX209" i="3"/>
  <c r="CX211" i="3"/>
  <c r="CX214" i="3"/>
  <c r="CU208" i="3"/>
  <c r="CS201" i="1"/>
  <c r="R201" i="1"/>
  <c r="GK201" i="1" s="1"/>
  <c r="CT200" i="1"/>
  <c r="CU192" i="3"/>
  <c r="CX192" i="3"/>
  <c r="CV192" i="3"/>
  <c r="CX194" i="3"/>
  <c r="CX193" i="3"/>
  <c r="CS197" i="1"/>
  <c r="R197" i="1"/>
  <c r="GK197" i="1" s="1"/>
  <c r="CT196" i="1"/>
  <c r="CQ195" i="1"/>
  <c r="P195" i="1"/>
  <c r="CP195" i="1" s="1"/>
  <c r="O195" i="1" s="1"/>
  <c r="GM195" i="1" s="1"/>
  <c r="GN195" i="1" s="1"/>
  <c r="CQ194" i="1"/>
  <c r="P194" i="1"/>
  <c r="CU182" i="3"/>
  <c r="CV182" i="3"/>
  <c r="CX183" i="3"/>
  <c r="AO158" i="1"/>
  <c r="CT156" i="1"/>
  <c r="CT154" i="1"/>
  <c r="CQ153" i="1"/>
  <c r="CS152" i="1"/>
  <c r="R152" i="1"/>
  <c r="GK152" i="1" s="1"/>
  <c r="CQ151" i="1"/>
  <c r="CS150" i="1"/>
  <c r="R150" i="1"/>
  <c r="GK150" i="1" s="1"/>
  <c r="CT149" i="1"/>
  <c r="CQ147" i="1"/>
  <c r="I145" i="1"/>
  <c r="V144" i="1"/>
  <c r="R144" i="1"/>
  <c r="GK144" i="1" s="1"/>
  <c r="CS144" i="1"/>
  <c r="T143" i="1"/>
  <c r="W143" i="1"/>
  <c r="S143" i="1"/>
  <c r="CT143" i="1"/>
  <c r="Q143" i="1"/>
  <c r="CQ142" i="1"/>
  <c r="CS141" i="1"/>
  <c r="T138" i="1"/>
  <c r="W138" i="1"/>
  <c r="S138" i="1"/>
  <c r="CT138" i="1"/>
  <c r="AB134" i="1"/>
  <c r="AD132" i="1"/>
  <c r="R132" i="1"/>
  <c r="GK132" i="1" s="1"/>
  <c r="CS132" i="1"/>
  <c r="AB131" i="1"/>
  <c r="P131" i="1"/>
  <c r="CP131" i="1" s="1"/>
  <c r="O131" i="1" s="1"/>
  <c r="GM131" i="1" s="1"/>
  <c r="GN131" i="1" s="1"/>
  <c r="CQ131" i="1"/>
  <c r="AD130" i="1"/>
  <c r="AB130" i="1" s="1"/>
  <c r="R130" i="1"/>
  <c r="GK130" i="1" s="1"/>
  <c r="CS130" i="1"/>
  <c r="U127" i="1"/>
  <c r="P124" i="1"/>
  <c r="Q124" i="1"/>
  <c r="S124" i="1"/>
  <c r="CP119" i="1"/>
  <c r="O119" i="1" s="1"/>
  <c r="U117" i="1"/>
  <c r="GX116" i="1"/>
  <c r="CZ114" i="1"/>
  <c r="Y114" i="1" s="1"/>
  <c r="CY114" i="1"/>
  <c r="X114" i="1" s="1"/>
  <c r="V106" i="1"/>
  <c r="CZ102" i="1"/>
  <c r="Y102" i="1" s="1"/>
  <c r="CY102" i="1"/>
  <c r="X102" i="1" s="1"/>
  <c r="Q201" i="1"/>
  <c r="CU196" i="3"/>
  <c r="CV196" i="3"/>
  <c r="CX198" i="3"/>
  <c r="CX196" i="3"/>
  <c r="Q197" i="1"/>
  <c r="CU190" i="3"/>
  <c r="CX190" i="3"/>
  <c r="CV190" i="3"/>
  <c r="BD158" i="1"/>
  <c r="AZ158" i="1"/>
  <c r="Q150" i="1"/>
  <c r="CX172" i="3"/>
  <c r="CX173" i="3"/>
  <c r="P147" i="1"/>
  <c r="CP147" i="1" s="1"/>
  <c r="O147" i="1" s="1"/>
  <c r="GM147" i="1" s="1"/>
  <c r="GN147" i="1" s="1"/>
  <c r="CS146" i="1"/>
  <c r="P145" i="1"/>
  <c r="CQ145" i="1"/>
  <c r="CP143" i="1"/>
  <c r="O143" i="1" s="1"/>
  <c r="GM139" i="1"/>
  <c r="GN139" i="1" s="1"/>
  <c r="S136" i="1"/>
  <c r="CT136" i="1"/>
  <c r="CY133" i="1"/>
  <c r="X133" i="1" s="1"/>
  <c r="CZ133" i="1"/>
  <c r="Y133" i="1" s="1"/>
  <c r="AB132" i="1"/>
  <c r="AB129" i="1"/>
  <c r="P129" i="1"/>
  <c r="CP129" i="1" s="1"/>
  <c r="O129" i="1" s="1"/>
  <c r="GM129" i="1" s="1"/>
  <c r="GN129" i="1" s="1"/>
  <c r="CQ129" i="1"/>
  <c r="T127" i="1"/>
  <c r="CZ126" i="1"/>
  <c r="Y126" i="1" s="1"/>
  <c r="CY126" i="1"/>
  <c r="X126" i="1" s="1"/>
  <c r="CP108" i="1"/>
  <c r="O108" i="1" s="1"/>
  <c r="GM108" i="1" s="1"/>
  <c r="GN108" i="1" s="1"/>
  <c r="GM105" i="1"/>
  <c r="GN105" i="1" s="1"/>
  <c r="CU200" i="3"/>
  <c r="CX200" i="3"/>
  <c r="I202" i="1"/>
  <c r="P201" i="1"/>
  <c r="P197" i="1"/>
  <c r="CP197" i="1" s="1"/>
  <c r="O197" i="1" s="1"/>
  <c r="GM197" i="1" s="1"/>
  <c r="GN197" i="1" s="1"/>
  <c r="CU186" i="3"/>
  <c r="CX187" i="3"/>
  <c r="CW187" i="3"/>
  <c r="CX189" i="3"/>
  <c r="CV186" i="3"/>
  <c r="CW188" i="3"/>
  <c r="BC158" i="1"/>
  <c r="AU158" i="1"/>
  <c r="AQ158" i="1"/>
  <c r="CU175" i="3"/>
  <c r="CX178" i="3"/>
  <c r="CX179" i="3"/>
  <c r="CV175" i="3"/>
  <c r="CX177" i="3"/>
  <c r="CX175" i="3"/>
  <c r="CX181" i="3"/>
  <c r="I153" i="1"/>
  <c r="I151" i="1"/>
  <c r="P150" i="1"/>
  <c r="CP150" i="1" s="1"/>
  <c r="O150" i="1" s="1"/>
  <c r="GM150" i="1" s="1"/>
  <c r="GN150" i="1" s="1"/>
  <c r="AD146" i="1"/>
  <c r="AB146" i="1" s="1"/>
  <c r="U145" i="1"/>
  <c r="T145" i="1"/>
  <c r="AB145" i="1"/>
  <c r="AB144" i="1"/>
  <c r="CX163" i="3"/>
  <c r="CX164" i="3"/>
  <c r="CX169" i="3"/>
  <c r="CU163" i="3"/>
  <c r="CV163" i="3"/>
  <c r="CX165" i="3"/>
  <c r="CX168" i="3"/>
  <c r="I146" i="1"/>
  <c r="GX146" i="1" s="1"/>
  <c r="S144" i="1"/>
  <c r="CR143" i="1"/>
  <c r="U143" i="1"/>
  <c r="AB141" i="1"/>
  <c r="Q138" i="1"/>
  <c r="P138" i="1"/>
  <c r="GM137" i="1"/>
  <c r="GN137" i="1" s="1"/>
  <c r="AB135" i="1"/>
  <c r="CP132" i="1"/>
  <c r="O132" i="1" s="1"/>
  <c r="GM132" i="1" s="1"/>
  <c r="GN132" i="1" s="1"/>
  <c r="CY131" i="1"/>
  <c r="X131" i="1" s="1"/>
  <c r="CZ131" i="1"/>
  <c r="Y131" i="1" s="1"/>
  <c r="GX130" i="1"/>
  <c r="CP126" i="1"/>
  <c r="O126" i="1" s="1"/>
  <c r="CZ121" i="1"/>
  <c r="Y121" i="1" s="1"/>
  <c r="CY121" i="1"/>
  <c r="X121" i="1" s="1"/>
  <c r="U120" i="1"/>
  <c r="AB116" i="1"/>
  <c r="P117" i="1"/>
  <c r="CP117" i="1" s="1"/>
  <c r="O117" i="1" s="1"/>
  <c r="Q117" i="1"/>
  <c r="S117" i="1"/>
  <c r="GM113" i="1"/>
  <c r="GN113" i="1" s="1"/>
  <c r="GM102" i="1"/>
  <c r="GN102" i="1" s="1"/>
  <c r="AQ26" i="1"/>
  <c r="F73" i="1"/>
  <c r="Q140" i="1"/>
  <c r="CW158" i="3"/>
  <c r="CW160" i="3"/>
  <c r="CX158" i="3"/>
  <c r="CX160" i="3"/>
  <c r="CU157" i="3"/>
  <c r="CZ129" i="1"/>
  <c r="Y129" i="1" s="1"/>
  <c r="Q129" i="1"/>
  <c r="CX134" i="3"/>
  <c r="CX131" i="3"/>
  <c r="CX135" i="3"/>
  <c r="I127" i="1"/>
  <c r="AD126" i="1"/>
  <c r="AB126" i="1" s="1"/>
  <c r="S122" i="1"/>
  <c r="P121" i="1"/>
  <c r="CP121" i="1" s="1"/>
  <c r="O121" i="1" s="1"/>
  <c r="I120" i="1"/>
  <c r="AD119" i="1"/>
  <c r="AB119" i="1" s="1"/>
  <c r="S115" i="1"/>
  <c r="P114" i="1"/>
  <c r="CP114" i="1" s="1"/>
  <c r="O114" i="1" s="1"/>
  <c r="P112" i="1"/>
  <c r="CP112" i="1" s="1"/>
  <c r="O112" i="1" s="1"/>
  <c r="CZ109" i="1"/>
  <c r="Y109" i="1" s="1"/>
  <c r="CZ107" i="1"/>
  <c r="Y107" i="1" s="1"/>
  <c r="Q107" i="1"/>
  <c r="DF104" i="3"/>
  <c r="DJ104" i="3" s="1"/>
  <c r="DG104" i="3"/>
  <c r="DH104" i="3"/>
  <c r="DI104" i="3"/>
  <c r="I106" i="1"/>
  <c r="CQ105" i="1"/>
  <c r="AD105" i="1"/>
  <c r="AB105" i="1" s="1"/>
  <c r="CZ103" i="1"/>
  <c r="Y103" i="1" s="1"/>
  <c r="CQ102" i="1"/>
  <c r="AD102" i="1"/>
  <c r="AB102" i="1" s="1"/>
  <c r="T101" i="1"/>
  <c r="W101" i="1"/>
  <c r="S101" i="1"/>
  <c r="CT101" i="1"/>
  <c r="Q101" i="1"/>
  <c r="CP101" i="1" s="1"/>
  <c r="O101" i="1" s="1"/>
  <c r="Q100" i="1"/>
  <c r="AD100" i="1"/>
  <c r="AB100" i="1" s="1"/>
  <c r="R100" i="1"/>
  <c r="GK100" i="1" s="1"/>
  <c r="AB60" i="1"/>
  <c r="P61" i="1"/>
  <c r="Q61" i="1"/>
  <c r="S61" i="1"/>
  <c r="CP56" i="1"/>
  <c r="O56" i="1" s="1"/>
  <c r="CP50" i="1"/>
  <c r="O50" i="1" s="1"/>
  <c r="GM50" i="1" s="1"/>
  <c r="GN50" i="1" s="1"/>
  <c r="AB42" i="1"/>
  <c r="CY40" i="1"/>
  <c r="X40" i="1" s="1"/>
  <c r="CZ40" i="1"/>
  <c r="Y40" i="1" s="1"/>
  <c r="GX35" i="1"/>
  <c r="DG171" i="3"/>
  <c r="DH171" i="3"/>
  <c r="DF171" i="3"/>
  <c r="DJ171" i="3" s="1"/>
  <c r="DI171" i="3"/>
  <c r="I141" i="1"/>
  <c r="V141" i="1" s="1"/>
  <c r="CX147" i="3"/>
  <c r="CX151" i="3"/>
  <c r="CX155" i="3"/>
  <c r="CU136" i="3"/>
  <c r="CX145" i="3"/>
  <c r="CX148" i="3"/>
  <c r="CX153" i="3"/>
  <c r="CX156" i="3"/>
  <c r="CW137" i="3"/>
  <c r="CW139" i="3"/>
  <c r="CW141" i="3"/>
  <c r="CX137" i="3"/>
  <c r="CX139" i="3"/>
  <c r="CX141" i="3"/>
  <c r="CX144" i="3"/>
  <c r="CX149" i="3"/>
  <c r="CX152" i="3"/>
  <c r="I130" i="1"/>
  <c r="V130" i="1" s="1"/>
  <c r="CT126" i="1"/>
  <c r="CQ125" i="1"/>
  <c r="P125" i="1"/>
  <c r="CS124" i="1"/>
  <c r="R124" i="1"/>
  <c r="GK124" i="1" s="1"/>
  <c r="CQ123" i="1"/>
  <c r="CS122" i="1"/>
  <c r="R122" i="1"/>
  <c r="GK122" i="1" s="1"/>
  <c r="CT121" i="1"/>
  <c r="CT119" i="1"/>
  <c r="CQ118" i="1"/>
  <c r="CS117" i="1"/>
  <c r="R117" i="1"/>
  <c r="GK117" i="1" s="1"/>
  <c r="CQ116" i="1"/>
  <c r="CS115" i="1"/>
  <c r="R115" i="1"/>
  <c r="GK115" i="1" s="1"/>
  <c r="CT114" i="1"/>
  <c r="CT112" i="1"/>
  <c r="CX107" i="3"/>
  <c r="CX105" i="3"/>
  <c r="CS110" i="1"/>
  <c r="R110" i="1"/>
  <c r="GK110" i="1" s="1"/>
  <c r="CQ109" i="1"/>
  <c r="P109" i="1"/>
  <c r="CP109" i="1" s="1"/>
  <c r="O109" i="1" s="1"/>
  <c r="GM109" i="1" s="1"/>
  <c r="GN109" i="1" s="1"/>
  <c r="CS108" i="1"/>
  <c r="R108" i="1"/>
  <c r="GK108" i="1" s="1"/>
  <c r="CQ107" i="1"/>
  <c r="P107" i="1"/>
  <c r="CP107" i="1" s="1"/>
  <c r="O107" i="1" s="1"/>
  <c r="GM107" i="1" s="1"/>
  <c r="GN107" i="1" s="1"/>
  <c r="CT105" i="1"/>
  <c r="CQ103" i="1"/>
  <c r="P103" i="1"/>
  <c r="CP103" i="1" s="1"/>
  <c r="O103" i="1" s="1"/>
  <c r="GM103" i="1" s="1"/>
  <c r="GN103" i="1" s="1"/>
  <c r="CT102" i="1"/>
  <c r="AB99" i="1"/>
  <c r="P99" i="1"/>
  <c r="CQ99" i="1"/>
  <c r="BC63" i="1"/>
  <c r="W61" i="1"/>
  <c r="AB61" i="1"/>
  <c r="AB55" i="1"/>
  <c r="CY54" i="1"/>
  <c r="X54" i="1" s="1"/>
  <c r="CZ54" i="1"/>
  <c r="Y54" i="1" s="1"/>
  <c r="CP52" i="1"/>
  <c r="O52" i="1" s="1"/>
  <c r="GM52" i="1" s="1"/>
  <c r="GN52" i="1" s="1"/>
  <c r="W48" i="1"/>
  <c r="AB48" i="1"/>
  <c r="P49" i="1"/>
  <c r="Q49" i="1"/>
  <c r="S49" i="1"/>
  <c r="CZ43" i="1"/>
  <c r="Y43" i="1" s="1"/>
  <c r="CY43" i="1"/>
  <c r="X43" i="1" s="1"/>
  <c r="Q122" i="1"/>
  <c r="CU122" i="3"/>
  <c r="CX124" i="3"/>
  <c r="CX128" i="3"/>
  <c r="CX126" i="3"/>
  <c r="CX122" i="3"/>
  <c r="CX125" i="3"/>
  <c r="Q115" i="1"/>
  <c r="CW109" i="3"/>
  <c r="CX111" i="3"/>
  <c r="CX114" i="3"/>
  <c r="CX112" i="3"/>
  <c r="CU108" i="3"/>
  <c r="CX109" i="3"/>
  <c r="Q110" i="1"/>
  <c r="CP110" i="1" s="1"/>
  <c r="O110" i="1" s="1"/>
  <c r="GM110" i="1" s="1"/>
  <c r="GN110" i="1" s="1"/>
  <c r="Q108" i="1"/>
  <c r="BZ26" i="1"/>
  <c r="CG63" i="1"/>
  <c r="CZ58" i="1"/>
  <c r="Y58" i="1" s="1"/>
  <c r="CY58" i="1"/>
  <c r="X58" i="1" s="1"/>
  <c r="CZ51" i="1"/>
  <c r="Y51" i="1" s="1"/>
  <c r="CY51" i="1"/>
  <c r="X51" i="1" s="1"/>
  <c r="V48" i="1"/>
  <c r="CP43" i="1"/>
  <c r="O43" i="1" s="1"/>
  <c r="V35" i="1"/>
  <c r="CX130" i="3"/>
  <c r="CU129" i="3"/>
  <c r="CV129" i="3"/>
  <c r="I125" i="1"/>
  <c r="V125" i="1" s="1"/>
  <c r="I123" i="1"/>
  <c r="T123" i="1" s="1"/>
  <c r="P122" i="1"/>
  <c r="CW116" i="3"/>
  <c r="CX119" i="3"/>
  <c r="CU115" i="3"/>
  <c r="CV115" i="3"/>
  <c r="CX120" i="3"/>
  <c r="CX116" i="3"/>
  <c r="I118" i="1"/>
  <c r="T118" i="1" s="1"/>
  <c r="I116" i="1"/>
  <c r="V116" i="1" s="1"/>
  <c r="P115" i="1"/>
  <c r="DI101" i="3"/>
  <c r="DF101" i="3"/>
  <c r="DJ101" i="3" s="1"/>
  <c r="DG101" i="3"/>
  <c r="DH101" i="3"/>
  <c r="CX97" i="3"/>
  <c r="CW83" i="3"/>
  <c r="CW85" i="3"/>
  <c r="CW87" i="3"/>
  <c r="CX83" i="3"/>
  <c r="CX85" i="3"/>
  <c r="CX87" i="3"/>
  <c r="CX90" i="3"/>
  <c r="CX95" i="3"/>
  <c r="CX98" i="3"/>
  <c r="CU82" i="3"/>
  <c r="CX91" i="3"/>
  <c r="CX94" i="3"/>
  <c r="S100" i="1"/>
  <c r="CP100" i="1" s="1"/>
  <c r="O100" i="1" s="1"/>
  <c r="CT100" i="1"/>
  <c r="CY99" i="1"/>
  <c r="X99" i="1" s="1"/>
  <c r="CZ99" i="1"/>
  <c r="Y99" i="1" s="1"/>
  <c r="AB98" i="1"/>
  <c r="AU26" i="1"/>
  <c r="F82" i="1"/>
  <c r="GX57" i="1"/>
  <c r="CZ56" i="1"/>
  <c r="Y56" i="1" s="1"/>
  <c r="CY56" i="1"/>
  <c r="X56" i="1" s="1"/>
  <c r="AB54" i="1"/>
  <c r="CZ53" i="1"/>
  <c r="Y53" i="1" s="1"/>
  <c r="CY53" i="1"/>
  <c r="X53" i="1" s="1"/>
  <c r="AB47" i="1"/>
  <c r="CZ46" i="1"/>
  <c r="Y46" i="1" s="1"/>
  <c r="CY46" i="1"/>
  <c r="X46" i="1" s="1"/>
  <c r="AB41" i="1"/>
  <c r="W35" i="1"/>
  <c r="Q99" i="1"/>
  <c r="CX78" i="3"/>
  <c r="CX79" i="3"/>
  <c r="CU78" i="3"/>
  <c r="CV78" i="3"/>
  <c r="R98" i="1"/>
  <c r="AO63" i="1"/>
  <c r="S59" i="1"/>
  <c r="P58" i="1"/>
  <c r="CP58" i="1" s="1"/>
  <c r="O58" i="1" s="1"/>
  <c r="I57" i="1"/>
  <c r="T57" i="1" s="1"/>
  <c r="AD56" i="1"/>
  <c r="AB56" i="1" s="1"/>
  <c r="P53" i="1"/>
  <c r="CP53" i="1" s="1"/>
  <c r="O53" i="1" s="1"/>
  <c r="P51" i="1"/>
  <c r="CP51" i="1" s="1"/>
  <c r="O51" i="1" s="1"/>
  <c r="S47" i="1"/>
  <c r="P46" i="1"/>
  <c r="CP46" i="1" s="1"/>
  <c r="O46" i="1" s="1"/>
  <c r="GM46" i="1" s="1"/>
  <c r="GN46" i="1" s="1"/>
  <c r="CZ45" i="1"/>
  <c r="Y45" i="1" s="1"/>
  <c r="Q45" i="1"/>
  <c r="CU28" i="3"/>
  <c r="CX29" i="3"/>
  <c r="CW29" i="3"/>
  <c r="CX31" i="3"/>
  <c r="I44" i="1"/>
  <c r="U44" i="1" s="1"/>
  <c r="AD43" i="1"/>
  <c r="AB43" i="1" s="1"/>
  <c r="CZ42" i="1"/>
  <c r="Y42" i="1" s="1"/>
  <c r="R40" i="1"/>
  <c r="GK40" i="1" s="1"/>
  <c r="CU16" i="3"/>
  <c r="CX17" i="3"/>
  <c r="CW17" i="3"/>
  <c r="CX20" i="3"/>
  <c r="CY39" i="1"/>
  <c r="X39" i="1" s="1"/>
  <c r="P39" i="1"/>
  <c r="CP39" i="1" s="1"/>
  <c r="O39" i="1" s="1"/>
  <c r="GM39" i="1" s="1"/>
  <c r="GN39" i="1" s="1"/>
  <c r="AB37" i="1"/>
  <c r="CR36" i="1"/>
  <c r="CW12" i="3"/>
  <c r="CX15" i="3"/>
  <c r="CU11" i="3"/>
  <c r="CX12" i="3"/>
  <c r="P36" i="1"/>
  <c r="I37" i="1"/>
  <c r="T37" i="1" s="1"/>
  <c r="I35" i="1"/>
  <c r="V34" i="1"/>
  <c r="R34" i="1"/>
  <c r="GK34" i="1" s="1"/>
  <c r="CS34" i="1"/>
  <c r="W32" i="1"/>
  <c r="S32" i="1"/>
  <c r="CP31" i="1"/>
  <c r="O31" i="1" s="1"/>
  <c r="GM31" i="1" s="1"/>
  <c r="GN31" i="1" s="1"/>
  <c r="CX338" i="3"/>
  <c r="CX335" i="3"/>
  <c r="CX330" i="3"/>
  <c r="CX328" i="3"/>
  <c r="CW325" i="3"/>
  <c r="CX323" i="3"/>
  <c r="CX318" i="3"/>
  <c r="CX305" i="3"/>
  <c r="CV302" i="3"/>
  <c r="DI300" i="3"/>
  <c r="DF300" i="3"/>
  <c r="DJ300" i="3" s="1"/>
  <c r="DG300" i="3"/>
  <c r="DH300" i="3"/>
  <c r="DF297" i="3"/>
  <c r="DG297" i="3"/>
  <c r="DJ297" i="3" s="1"/>
  <c r="DH297" i="3"/>
  <c r="DI297" i="3"/>
  <c r="CX294" i="3"/>
  <c r="CX265" i="3"/>
  <c r="CI63" i="1"/>
  <c r="BD63" i="1"/>
  <c r="CS61" i="1"/>
  <c r="R61" i="1"/>
  <c r="GK61" i="1" s="1"/>
  <c r="CQ60" i="1"/>
  <c r="CS59" i="1"/>
  <c r="R59" i="1"/>
  <c r="GK59" i="1" s="1"/>
  <c r="CT58" i="1"/>
  <c r="CT56" i="1"/>
  <c r="CQ55" i="1"/>
  <c r="CS54" i="1"/>
  <c r="R54" i="1"/>
  <c r="GK54" i="1" s="1"/>
  <c r="CT53" i="1"/>
  <c r="CT51" i="1"/>
  <c r="CX40" i="3"/>
  <c r="CU40" i="3"/>
  <c r="CV40" i="3"/>
  <c r="CX46" i="3"/>
  <c r="CX50" i="3"/>
  <c r="CX54" i="3"/>
  <c r="CX58" i="3"/>
  <c r="CX62" i="3"/>
  <c r="CX44" i="3"/>
  <c r="CX47" i="3"/>
  <c r="CX51" i="3"/>
  <c r="CX55" i="3"/>
  <c r="CX59" i="3"/>
  <c r="CX41" i="3"/>
  <c r="CW45" i="3"/>
  <c r="CX48" i="3"/>
  <c r="CX52" i="3"/>
  <c r="CX56" i="3"/>
  <c r="CX60" i="3"/>
  <c r="CW42" i="3"/>
  <c r="CS49" i="1"/>
  <c r="R49" i="1"/>
  <c r="GK49" i="1" s="1"/>
  <c r="CQ48" i="1"/>
  <c r="P48" i="1"/>
  <c r="CS47" i="1"/>
  <c r="R47" i="1"/>
  <c r="GK47" i="1" s="1"/>
  <c r="CT46" i="1"/>
  <c r="CQ45" i="1"/>
  <c r="P45" i="1"/>
  <c r="CP45" i="1" s="1"/>
  <c r="O45" i="1" s="1"/>
  <c r="GM45" i="1" s="1"/>
  <c r="GN45" i="1" s="1"/>
  <c r="CT43" i="1"/>
  <c r="CQ42" i="1"/>
  <c r="P42" i="1"/>
  <c r="CP42" i="1" s="1"/>
  <c r="O42" i="1" s="1"/>
  <c r="GM42" i="1" s="1"/>
  <c r="GN42" i="1" s="1"/>
  <c r="CS41" i="1"/>
  <c r="R41" i="1"/>
  <c r="GK41" i="1" s="1"/>
  <c r="P40" i="1"/>
  <c r="Q40" i="1"/>
  <c r="CR38" i="1"/>
  <c r="GX37" i="1"/>
  <c r="R36" i="1"/>
  <c r="GK36" i="1" s="1"/>
  <c r="P35" i="1"/>
  <c r="CQ35" i="1"/>
  <c r="GX34" i="1"/>
  <c r="W34" i="1"/>
  <c r="GX32" i="1"/>
  <c r="T32" i="1"/>
  <c r="V32" i="1"/>
  <c r="R32" i="1"/>
  <c r="GK32" i="1" s="1"/>
  <c r="CS32" i="1"/>
  <c r="AD32" i="1"/>
  <c r="AB32" i="1" s="1"/>
  <c r="CY30" i="1"/>
  <c r="X30" i="1" s="1"/>
  <c r="CZ30" i="1"/>
  <c r="Y30" i="1" s="1"/>
  <c r="CW316" i="3"/>
  <c r="CX311" i="3"/>
  <c r="CX306" i="3"/>
  <c r="CX249" i="3"/>
  <c r="Q59" i="1"/>
  <c r="CW75" i="3"/>
  <c r="CU74" i="3"/>
  <c r="CX75" i="3"/>
  <c r="Q54" i="1"/>
  <c r="CW64" i="3"/>
  <c r="CU63" i="3"/>
  <c r="CX64" i="3"/>
  <c r="CV63" i="3"/>
  <c r="CX65" i="3"/>
  <c r="Q47" i="1"/>
  <c r="CU34" i="3"/>
  <c r="CX34" i="3"/>
  <c r="CV34" i="3"/>
  <c r="CX36" i="3"/>
  <c r="Q41" i="1"/>
  <c r="CP41" i="1" s="1"/>
  <c r="O41" i="1" s="1"/>
  <c r="GM41" i="1" s="1"/>
  <c r="GN41" i="1" s="1"/>
  <c r="V37" i="1"/>
  <c r="S36" i="1"/>
  <c r="CT36" i="1"/>
  <c r="U35" i="1"/>
  <c r="AH63" i="1" s="1"/>
  <c r="T35" i="1"/>
  <c r="CW8" i="3"/>
  <c r="CX10" i="3"/>
  <c r="CU7" i="3"/>
  <c r="CX8" i="3"/>
  <c r="S34" i="1"/>
  <c r="CY31" i="1"/>
  <c r="X31" i="1" s="1"/>
  <c r="CZ31" i="1"/>
  <c r="Y31" i="1" s="1"/>
  <c r="CX334" i="3"/>
  <c r="CX327" i="3"/>
  <c r="CX322" i="3"/>
  <c r="CX319" i="3"/>
  <c r="CW314" i="3"/>
  <c r="CX280" i="3"/>
  <c r="CX258" i="3"/>
  <c r="CX81" i="3"/>
  <c r="CU80" i="3"/>
  <c r="BB63" i="1"/>
  <c r="AT63" i="1"/>
  <c r="AP63" i="1"/>
  <c r="I60" i="1"/>
  <c r="W60" i="1" s="1"/>
  <c r="P59" i="1"/>
  <c r="CU67" i="3"/>
  <c r="CV67" i="3"/>
  <c r="CX67" i="3"/>
  <c r="CX73" i="3"/>
  <c r="CX69" i="3"/>
  <c r="I55" i="1"/>
  <c r="V55" i="1" s="1"/>
  <c r="P54" i="1"/>
  <c r="CP54" i="1" s="1"/>
  <c r="O54" i="1" s="1"/>
  <c r="GM54" i="1" s="1"/>
  <c r="GN54" i="1" s="1"/>
  <c r="I48" i="1"/>
  <c r="U48" i="1" s="1"/>
  <c r="P47" i="1"/>
  <c r="CU23" i="3"/>
  <c r="CX23" i="3"/>
  <c r="CX25" i="3"/>
  <c r="CV23" i="3"/>
  <c r="CW25" i="3"/>
  <c r="CX27" i="3"/>
  <c r="U39" i="1"/>
  <c r="W39" i="1"/>
  <c r="R39" i="1"/>
  <c r="GK39" i="1" s="1"/>
  <c r="S38" i="1"/>
  <c r="CT38" i="1"/>
  <c r="U37" i="1"/>
  <c r="Q34" i="1"/>
  <c r="CP34" i="1" s="1"/>
  <c r="O34" i="1" s="1"/>
  <c r="CU4" i="3"/>
  <c r="CV4" i="3"/>
  <c r="CX6" i="3"/>
  <c r="CX4" i="3"/>
  <c r="P32" i="1"/>
  <c r="CP30" i="1"/>
  <c r="O30" i="1" s="1"/>
  <c r="CV332" i="3"/>
  <c r="CX310" i="3"/>
  <c r="CX307" i="3"/>
  <c r="DF299" i="3"/>
  <c r="DG299" i="3"/>
  <c r="DJ299" i="3" s="1"/>
  <c r="DH299" i="3"/>
  <c r="DI299" i="3"/>
  <c r="Q31" i="1"/>
  <c r="Q30" i="1"/>
  <c r="CU2" i="3"/>
  <c r="CX2" i="3"/>
  <c r="AB29" i="1"/>
  <c r="R29" i="1"/>
  <c r="CX332" i="3"/>
  <c r="CX316" i="3"/>
  <c r="CX314" i="3"/>
  <c r="CV305" i="3"/>
  <c r="CX302" i="3"/>
  <c r="DG301" i="3"/>
  <c r="DG298" i="3"/>
  <c r="DJ298" i="3" s="1"/>
  <c r="DG296" i="3"/>
  <c r="DJ296" i="3" s="1"/>
  <c r="CX292" i="3"/>
  <c r="CX287" i="3"/>
  <c r="CX285" i="3"/>
  <c r="CX278" i="3"/>
  <c r="CX261" i="3"/>
  <c r="CX259" i="3"/>
  <c r="CV253" i="3"/>
  <c r="CX253" i="3"/>
  <c r="CX250" i="3"/>
  <c r="CX241" i="3"/>
  <c r="CW238" i="3"/>
  <c r="CX229" i="3"/>
  <c r="CW205" i="3"/>
  <c r="CT32" i="1"/>
  <c r="CQ31" i="1"/>
  <c r="CQ30" i="1"/>
  <c r="CX295" i="3"/>
  <c r="CX291" i="3"/>
  <c r="CX277" i="3"/>
  <c r="CW275" i="3"/>
  <c r="CX275" i="3"/>
  <c r="CW273" i="3"/>
  <c r="CX273" i="3"/>
  <c r="CX271" i="3"/>
  <c r="CW269" i="3"/>
  <c r="CV265" i="3"/>
  <c r="CW236" i="3"/>
  <c r="CW227" i="3"/>
  <c r="CW201" i="3"/>
  <c r="CT31" i="1"/>
  <c r="CT30" i="1"/>
  <c r="CW284" i="3"/>
  <c r="CV258" i="3"/>
  <c r="CX242" i="3"/>
  <c r="CW234" i="3"/>
  <c r="CX281" i="3"/>
  <c r="CX268" i="3"/>
  <c r="CX266" i="3"/>
  <c r="CW255" i="3"/>
  <c r="CX255" i="3"/>
  <c r="CX251" i="3"/>
  <c r="CX247" i="3"/>
  <c r="CW246" i="3"/>
  <c r="CX245" i="3"/>
  <c r="CX232" i="3"/>
  <c r="CX225" i="3"/>
  <c r="CX199" i="3"/>
  <c r="CX238" i="3"/>
  <c r="CX236" i="3"/>
  <c r="CX234" i="3"/>
  <c r="CW228" i="3"/>
  <c r="CV226" i="3"/>
  <c r="CX212" i="3"/>
  <c r="CW210" i="3"/>
  <c r="CX210" i="3"/>
  <c r="CW204" i="3"/>
  <c r="CX202" i="3"/>
  <c r="CV200" i="3"/>
  <c r="CX223" i="3"/>
  <c r="CV208" i="3"/>
  <c r="CX208" i="3"/>
  <c r="CW197" i="3"/>
  <c r="CX197" i="3"/>
  <c r="CX195" i="3"/>
  <c r="CW193" i="3"/>
  <c r="CX121" i="3"/>
  <c r="CX227" i="3"/>
  <c r="CX222" i="3"/>
  <c r="CW220" i="3"/>
  <c r="CX220" i="3"/>
  <c r="CW218" i="3"/>
  <c r="CX218" i="3"/>
  <c r="CX216" i="3"/>
  <c r="CX205" i="3"/>
  <c r="CX201" i="3"/>
  <c r="CX184" i="3"/>
  <c r="CX182" i="3"/>
  <c r="CX180" i="3"/>
  <c r="CX132" i="3"/>
  <c r="CX213" i="3"/>
  <c r="CX191" i="3"/>
  <c r="CX188" i="3"/>
  <c r="CX186" i="3"/>
  <c r="CW123" i="3"/>
  <c r="CX117" i="3"/>
  <c r="CX161" i="3"/>
  <c r="CW159" i="3"/>
  <c r="CX159" i="3"/>
  <c r="CV136" i="3"/>
  <c r="CX136" i="3"/>
  <c r="CX133" i="3"/>
  <c r="CX129" i="3"/>
  <c r="CX115" i="3"/>
  <c r="CX170" i="3"/>
  <c r="CV157" i="3"/>
  <c r="CX157" i="3"/>
  <c r="CX154" i="3"/>
  <c r="CX146" i="3"/>
  <c r="CX123" i="3"/>
  <c r="CX118" i="3"/>
  <c r="CW110" i="3"/>
  <c r="CX110" i="3"/>
  <c r="CX167" i="3"/>
  <c r="CX143" i="3"/>
  <c r="CX127" i="3"/>
  <c r="CX113" i="3"/>
  <c r="CW176" i="3"/>
  <c r="CX176" i="3"/>
  <c r="CX174" i="3"/>
  <c r="CX166" i="3"/>
  <c r="CW164" i="3"/>
  <c r="CX162" i="3"/>
  <c r="CX150" i="3"/>
  <c r="CX142" i="3"/>
  <c r="CW140" i="3"/>
  <c r="CX140" i="3"/>
  <c r="CW138" i="3"/>
  <c r="CX138" i="3"/>
  <c r="CV122" i="3"/>
  <c r="CV108" i="3"/>
  <c r="CX108" i="3"/>
  <c r="CX89" i="3"/>
  <c r="CX72" i="3"/>
  <c r="CX63" i="3"/>
  <c r="CX45" i="3"/>
  <c r="CX106" i="3"/>
  <c r="CV99" i="3"/>
  <c r="CX99" i="3"/>
  <c r="CX96" i="3"/>
  <c r="CX88" i="3"/>
  <c r="CW86" i="3"/>
  <c r="CX86" i="3"/>
  <c r="CW84" i="3"/>
  <c r="CX84" i="3"/>
  <c r="CX76" i="3"/>
  <c r="CV74" i="3"/>
  <c r="CX74" i="3"/>
  <c r="CX103" i="3"/>
  <c r="DF100" i="3"/>
  <c r="DJ100" i="3" s="1"/>
  <c r="DG100" i="3"/>
  <c r="CX93" i="3"/>
  <c r="CV82" i="3"/>
  <c r="CX82" i="3"/>
  <c r="CV80" i="3"/>
  <c r="CX80" i="3"/>
  <c r="CX102" i="3"/>
  <c r="DI100" i="3"/>
  <c r="CX92" i="3"/>
  <c r="CX71" i="3"/>
  <c r="CX70" i="3"/>
  <c r="CW44" i="3"/>
  <c r="CW68" i="3"/>
  <c r="CX68" i="3"/>
  <c r="CX77" i="3"/>
  <c r="CX66" i="3"/>
  <c r="CX61" i="3"/>
  <c r="CX57" i="3"/>
  <c r="CX53" i="3"/>
  <c r="CX49" i="3"/>
  <c r="CW43" i="3"/>
  <c r="CX43" i="3"/>
  <c r="CX42" i="3"/>
  <c r="CW41" i="3"/>
  <c r="CX39" i="3"/>
  <c r="CX14" i="3"/>
  <c r="CW9" i="3"/>
  <c r="CX38" i="3"/>
  <c r="CX37" i="3"/>
  <c r="CW35" i="3"/>
  <c r="CV7" i="3"/>
  <c r="CX33" i="3"/>
  <c r="CX32" i="3"/>
  <c r="CW30" i="3"/>
  <c r="CV28" i="3"/>
  <c r="CX28" i="3"/>
  <c r="CW26" i="3"/>
  <c r="CW24" i="3"/>
  <c r="CX13" i="3"/>
  <c r="CW5" i="3"/>
  <c r="CV2" i="3"/>
  <c r="CX22" i="3"/>
  <c r="CX21" i="3"/>
  <c r="CX19" i="3"/>
  <c r="CX18" i="3"/>
  <c r="CV16" i="3"/>
  <c r="CV11" i="3"/>
  <c r="CX3" i="3"/>
  <c r="CW3" i="3"/>
  <c r="CX35" i="3"/>
  <c r="CX30" i="3"/>
  <c r="CX26" i="3"/>
  <c r="CX24" i="3"/>
  <c r="CX16" i="3"/>
  <c r="CX11" i="3"/>
  <c r="CX9" i="3"/>
  <c r="CX7" i="3"/>
  <c r="CX5" i="3"/>
  <c r="I23" i="6" l="1"/>
  <c r="I22" i="6" s="1"/>
  <c r="J513" i="6"/>
  <c r="H324" i="6"/>
  <c r="J324" i="6"/>
  <c r="J676" i="6"/>
  <c r="H645" i="6"/>
  <c r="J645" i="6"/>
  <c r="J669" i="6"/>
  <c r="J578" i="6"/>
  <c r="H669" i="6"/>
  <c r="H676" i="6"/>
  <c r="AH26" i="1"/>
  <c r="U63" i="1"/>
  <c r="AL358" i="1"/>
  <c r="Y364" i="1"/>
  <c r="X364" i="1"/>
  <c r="AK358" i="1"/>
  <c r="AH264" i="1"/>
  <c r="U277" i="1"/>
  <c r="AJ326" i="1"/>
  <c r="DI21" i="3"/>
  <c r="DF21" i="3"/>
  <c r="DJ21" i="3" s="1"/>
  <c r="DH21" i="3"/>
  <c r="DG21" i="3"/>
  <c r="DH53" i="3"/>
  <c r="DI53" i="3"/>
  <c r="DF53" i="3"/>
  <c r="DJ53" i="3" s="1"/>
  <c r="DG53" i="3"/>
  <c r="DH102" i="3"/>
  <c r="DI102" i="3"/>
  <c r="DF102" i="3"/>
  <c r="DJ102" i="3" s="1"/>
  <c r="DG102" i="3"/>
  <c r="DH88" i="3"/>
  <c r="DI88" i="3"/>
  <c r="DG88" i="3"/>
  <c r="DF88" i="3"/>
  <c r="DJ88" i="3" s="1"/>
  <c r="DG138" i="3"/>
  <c r="DJ138" i="3" s="1"/>
  <c r="DH138" i="3"/>
  <c r="DF138" i="3"/>
  <c r="DI138" i="3"/>
  <c r="DI110" i="3"/>
  <c r="DG110" i="3"/>
  <c r="DJ110" i="3" s="1"/>
  <c r="DH110" i="3"/>
  <c r="DF110" i="3"/>
  <c r="DG136" i="3"/>
  <c r="DH136" i="3"/>
  <c r="DF136" i="3"/>
  <c r="DI136" i="3"/>
  <c r="DJ136" i="3" s="1"/>
  <c r="DF180" i="3"/>
  <c r="DJ180" i="3" s="1"/>
  <c r="DG180" i="3"/>
  <c r="DH180" i="3"/>
  <c r="DI180" i="3"/>
  <c r="DI121" i="3"/>
  <c r="DF121" i="3"/>
  <c r="DJ121" i="3" s="1"/>
  <c r="DG121" i="3"/>
  <c r="DH121" i="3"/>
  <c r="DF247" i="3"/>
  <c r="DH247" i="3"/>
  <c r="DI247" i="3"/>
  <c r="DG247" i="3"/>
  <c r="DJ247" i="3" s="1"/>
  <c r="DI242" i="3"/>
  <c r="DF242" i="3"/>
  <c r="DJ242" i="3" s="1"/>
  <c r="DG242" i="3"/>
  <c r="DH242" i="3"/>
  <c r="DH259" i="3"/>
  <c r="DI259" i="3"/>
  <c r="DF259" i="3"/>
  <c r="DG259" i="3"/>
  <c r="DJ259" i="3" s="1"/>
  <c r="DI316" i="3"/>
  <c r="DF316" i="3"/>
  <c r="DG316" i="3"/>
  <c r="DJ316" i="3" s="1"/>
  <c r="DH316" i="3"/>
  <c r="DI307" i="3"/>
  <c r="DF307" i="3"/>
  <c r="DJ307" i="3" s="1"/>
  <c r="DG307" i="3"/>
  <c r="DH307" i="3"/>
  <c r="CZ38" i="1"/>
  <c r="Y38" i="1" s="1"/>
  <c r="CY38" i="1"/>
  <c r="X38" i="1" s="1"/>
  <c r="DF27" i="3"/>
  <c r="DJ27" i="3" s="1"/>
  <c r="DG27" i="3"/>
  <c r="DI27" i="3"/>
  <c r="DH27" i="3"/>
  <c r="CY36" i="1"/>
  <c r="X36" i="1" s="1"/>
  <c r="CZ36" i="1"/>
  <c r="Y36" i="1" s="1"/>
  <c r="DF44" i="3"/>
  <c r="DG44" i="3"/>
  <c r="DJ44" i="3" s="1"/>
  <c r="DH44" i="3"/>
  <c r="DI44" i="3"/>
  <c r="DH305" i="3"/>
  <c r="DI305" i="3"/>
  <c r="DJ305" i="3" s="1"/>
  <c r="DF305" i="3"/>
  <c r="DG305" i="3"/>
  <c r="DG16" i="3"/>
  <c r="DH16" i="3"/>
  <c r="DF16" i="3"/>
  <c r="DI16" i="3"/>
  <c r="DJ16" i="3" s="1"/>
  <c r="DH43" i="3"/>
  <c r="DI43" i="3"/>
  <c r="DF43" i="3"/>
  <c r="DG43" i="3"/>
  <c r="DJ43" i="3" s="1"/>
  <c r="DH71" i="3"/>
  <c r="DI71" i="3"/>
  <c r="DG71" i="3"/>
  <c r="DF71" i="3"/>
  <c r="DJ71" i="3" s="1"/>
  <c r="DG74" i="3"/>
  <c r="DH74" i="3"/>
  <c r="DF74" i="3"/>
  <c r="DI74" i="3"/>
  <c r="DJ74" i="3" s="1"/>
  <c r="DH96" i="3"/>
  <c r="DI96" i="3"/>
  <c r="DG96" i="3"/>
  <c r="DF96" i="3"/>
  <c r="DJ96" i="3" s="1"/>
  <c r="DH127" i="3"/>
  <c r="DI127" i="3"/>
  <c r="DF127" i="3"/>
  <c r="DJ127" i="3" s="1"/>
  <c r="DG127" i="3"/>
  <c r="DH115" i="3"/>
  <c r="DI115" i="3"/>
  <c r="DJ115" i="3" s="1"/>
  <c r="DF115" i="3"/>
  <c r="DG115" i="3"/>
  <c r="DI117" i="3"/>
  <c r="DF117" i="3"/>
  <c r="DJ117" i="3" s="1"/>
  <c r="DH117" i="3"/>
  <c r="DG117" i="3"/>
  <c r="DH216" i="3"/>
  <c r="DI216" i="3"/>
  <c r="DF216" i="3"/>
  <c r="DJ216" i="3" s="1"/>
  <c r="DG216" i="3"/>
  <c r="DG208" i="3"/>
  <c r="DH208" i="3"/>
  <c r="DF208" i="3"/>
  <c r="DI208" i="3"/>
  <c r="DJ208" i="3" s="1"/>
  <c r="DI236" i="3"/>
  <c r="DF236" i="3"/>
  <c r="DG236" i="3"/>
  <c r="DJ236" i="3" s="1"/>
  <c r="DH236" i="3"/>
  <c r="DH268" i="3"/>
  <c r="DI268" i="3"/>
  <c r="DF268" i="3"/>
  <c r="DG268" i="3"/>
  <c r="DJ268" i="3" s="1"/>
  <c r="DF295" i="3"/>
  <c r="DG295" i="3"/>
  <c r="DH295" i="3"/>
  <c r="DI295" i="3"/>
  <c r="DJ295" i="3" s="1"/>
  <c r="DH261" i="3"/>
  <c r="DI261" i="3"/>
  <c r="DF261" i="3"/>
  <c r="DG261" i="3"/>
  <c r="DJ261" i="3" s="1"/>
  <c r="DI302" i="3"/>
  <c r="DJ302" i="3" s="1"/>
  <c r="DF302" i="3"/>
  <c r="DG302" i="3"/>
  <c r="DH302" i="3"/>
  <c r="DF310" i="3"/>
  <c r="DJ310" i="3" s="1"/>
  <c r="DG310" i="3"/>
  <c r="DH310" i="3"/>
  <c r="DI310" i="3"/>
  <c r="DI4" i="3"/>
  <c r="DJ4" i="3" s="1"/>
  <c r="DF4" i="3"/>
  <c r="DG4" i="3"/>
  <c r="DH4" i="3"/>
  <c r="AP26" i="1"/>
  <c r="F72" i="1"/>
  <c r="AP394" i="1"/>
  <c r="DI319" i="3"/>
  <c r="DF319" i="3"/>
  <c r="DJ319" i="3" s="1"/>
  <c r="DG319" i="3"/>
  <c r="DH319" i="3"/>
  <c r="DI8" i="3"/>
  <c r="DF8" i="3"/>
  <c r="DG8" i="3"/>
  <c r="DJ8" i="3" s="1"/>
  <c r="DH8" i="3"/>
  <c r="DG7" i="3"/>
  <c r="DH7" i="3"/>
  <c r="DI7" i="3"/>
  <c r="DJ7" i="3" s="1"/>
  <c r="DF7" i="3"/>
  <c r="DG24" i="3"/>
  <c r="DJ24" i="3" s="1"/>
  <c r="DH24" i="3"/>
  <c r="DF24" i="3"/>
  <c r="DI24" i="3"/>
  <c r="DH18" i="3"/>
  <c r="DI18" i="3"/>
  <c r="DG18" i="3"/>
  <c r="DF18" i="3"/>
  <c r="DJ18" i="3" s="1"/>
  <c r="DI32" i="3"/>
  <c r="DF32" i="3"/>
  <c r="DJ32" i="3" s="1"/>
  <c r="DH32" i="3"/>
  <c r="DG32" i="3"/>
  <c r="DI37" i="3"/>
  <c r="DF37" i="3"/>
  <c r="DJ37" i="3" s="1"/>
  <c r="DH37" i="3"/>
  <c r="DG37" i="3"/>
  <c r="DG39" i="3"/>
  <c r="DH39" i="3"/>
  <c r="DI39" i="3"/>
  <c r="DF39" i="3"/>
  <c r="DJ39" i="3" s="1"/>
  <c r="DH61" i="3"/>
  <c r="DI61" i="3"/>
  <c r="DF61" i="3"/>
  <c r="DJ61" i="3" s="1"/>
  <c r="DG61" i="3"/>
  <c r="DH92" i="3"/>
  <c r="DI92" i="3"/>
  <c r="DF92" i="3"/>
  <c r="DJ92" i="3" s="1"/>
  <c r="DG92" i="3"/>
  <c r="DG86" i="3"/>
  <c r="DJ86" i="3" s="1"/>
  <c r="DH86" i="3"/>
  <c r="DI86" i="3"/>
  <c r="DF86" i="3"/>
  <c r="DG99" i="3"/>
  <c r="DH99" i="3"/>
  <c r="DF99" i="3"/>
  <c r="DI99" i="3"/>
  <c r="DJ99" i="3" s="1"/>
  <c r="DH63" i="3"/>
  <c r="DI63" i="3"/>
  <c r="DJ63" i="3" s="1"/>
  <c r="DF63" i="3"/>
  <c r="DG63" i="3"/>
  <c r="DG140" i="3"/>
  <c r="DJ140" i="3" s="1"/>
  <c r="DH140" i="3"/>
  <c r="DF140" i="3"/>
  <c r="DI140" i="3"/>
  <c r="DG162" i="3"/>
  <c r="DH162" i="3"/>
  <c r="DF162" i="3"/>
  <c r="DJ162" i="3" s="1"/>
  <c r="DI162" i="3"/>
  <c r="DG176" i="3"/>
  <c r="DJ176" i="3" s="1"/>
  <c r="DH176" i="3"/>
  <c r="DF176" i="3"/>
  <c r="DI176" i="3"/>
  <c r="DG143" i="3"/>
  <c r="DH143" i="3"/>
  <c r="DF143" i="3"/>
  <c r="DJ143" i="3" s="1"/>
  <c r="DI143" i="3"/>
  <c r="DH118" i="3"/>
  <c r="DI118" i="3"/>
  <c r="DG118" i="3"/>
  <c r="DF118" i="3"/>
  <c r="DJ118" i="3" s="1"/>
  <c r="DG157" i="3"/>
  <c r="DH157" i="3"/>
  <c r="DF157" i="3"/>
  <c r="DI157" i="3"/>
  <c r="DJ157" i="3" s="1"/>
  <c r="DH129" i="3"/>
  <c r="DI129" i="3"/>
  <c r="DJ129" i="3" s="1"/>
  <c r="DF129" i="3"/>
  <c r="DG129" i="3"/>
  <c r="DG159" i="3"/>
  <c r="DJ159" i="3" s="1"/>
  <c r="DH159" i="3"/>
  <c r="DF159" i="3"/>
  <c r="DI159" i="3"/>
  <c r="DG213" i="3"/>
  <c r="DH213" i="3"/>
  <c r="DF213" i="3"/>
  <c r="DJ213" i="3" s="1"/>
  <c r="DI213" i="3"/>
  <c r="DF184" i="3"/>
  <c r="DH184" i="3"/>
  <c r="DI184" i="3"/>
  <c r="DJ184" i="3" s="1"/>
  <c r="DG184" i="3"/>
  <c r="DG218" i="3"/>
  <c r="DJ218" i="3" s="1"/>
  <c r="DH218" i="3"/>
  <c r="DF218" i="3"/>
  <c r="DI218" i="3"/>
  <c r="DH222" i="3"/>
  <c r="DI222" i="3"/>
  <c r="DF222" i="3"/>
  <c r="DJ222" i="3" s="1"/>
  <c r="DG222" i="3"/>
  <c r="DH195" i="3"/>
  <c r="DI195" i="3"/>
  <c r="DG195" i="3"/>
  <c r="DF195" i="3"/>
  <c r="DJ195" i="3" s="1"/>
  <c r="DI238" i="3"/>
  <c r="DF238" i="3"/>
  <c r="DG238" i="3"/>
  <c r="DJ238" i="3" s="1"/>
  <c r="DH238" i="3"/>
  <c r="DF245" i="3"/>
  <c r="DH245" i="3"/>
  <c r="DI245" i="3"/>
  <c r="DG245" i="3"/>
  <c r="DJ245" i="3" s="1"/>
  <c r="DG255" i="3"/>
  <c r="DJ255" i="3" s="1"/>
  <c r="DH255" i="3"/>
  <c r="DF255" i="3"/>
  <c r="DI255" i="3"/>
  <c r="DH281" i="3"/>
  <c r="DI281" i="3"/>
  <c r="DF281" i="3"/>
  <c r="DJ281" i="3" s="1"/>
  <c r="DG281" i="3"/>
  <c r="DH271" i="3"/>
  <c r="DI271" i="3"/>
  <c r="DG271" i="3"/>
  <c r="DF271" i="3"/>
  <c r="DJ271" i="3" s="1"/>
  <c r="DI229" i="3"/>
  <c r="DF229" i="3"/>
  <c r="DJ229" i="3" s="1"/>
  <c r="DG229" i="3"/>
  <c r="DH229" i="3"/>
  <c r="DG253" i="3"/>
  <c r="DH253" i="3"/>
  <c r="DF253" i="3"/>
  <c r="DI253" i="3"/>
  <c r="DJ253" i="3" s="1"/>
  <c r="DG278" i="3"/>
  <c r="DH278" i="3"/>
  <c r="DF278" i="3"/>
  <c r="DJ278" i="3" s="1"/>
  <c r="DI278" i="3"/>
  <c r="GK29" i="1"/>
  <c r="GM29" i="1" s="1"/>
  <c r="DF6" i="3"/>
  <c r="DJ6" i="3" s="1"/>
  <c r="DG6" i="3"/>
  <c r="DH6" i="3"/>
  <c r="DI6" i="3"/>
  <c r="CP47" i="1"/>
  <c r="O47" i="1" s="1"/>
  <c r="DF69" i="3"/>
  <c r="DJ69" i="3" s="1"/>
  <c r="DG69" i="3"/>
  <c r="DH69" i="3"/>
  <c r="DI69" i="3"/>
  <c r="AT26" i="1"/>
  <c r="F81" i="1"/>
  <c r="AT394" i="1"/>
  <c r="DF258" i="3"/>
  <c r="DG258" i="3"/>
  <c r="DH258" i="3"/>
  <c r="DI258" i="3"/>
  <c r="DJ258" i="3" s="1"/>
  <c r="DF322" i="3"/>
  <c r="DJ322" i="3" s="1"/>
  <c r="DG322" i="3"/>
  <c r="DH322" i="3"/>
  <c r="DI322" i="3"/>
  <c r="DF64" i="3"/>
  <c r="DG64" i="3"/>
  <c r="DJ64" i="3" s="1"/>
  <c r="DH64" i="3"/>
  <c r="DI64" i="3"/>
  <c r="DI75" i="3"/>
  <c r="DF75" i="3"/>
  <c r="DG75" i="3"/>
  <c r="DJ75" i="3" s="1"/>
  <c r="DH75" i="3"/>
  <c r="DI249" i="3"/>
  <c r="DF249" i="3"/>
  <c r="DJ249" i="3" s="1"/>
  <c r="DG249" i="3"/>
  <c r="DH249" i="3"/>
  <c r="CP40" i="1"/>
  <c r="O40" i="1" s="1"/>
  <c r="GM40" i="1" s="1"/>
  <c r="GN40" i="1" s="1"/>
  <c r="DI60" i="3"/>
  <c r="DF60" i="3"/>
  <c r="DJ60" i="3" s="1"/>
  <c r="DG60" i="3"/>
  <c r="DH60" i="3"/>
  <c r="DF51" i="3"/>
  <c r="DJ51" i="3" s="1"/>
  <c r="DG51" i="3"/>
  <c r="DH51" i="3"/>
  <c r="DI51" i="3"/>
  <c r="DG58" i="3"/>
  <c r="DH58" i="3"/>
  <c r="DI58" i="3"/>
  <c r="DF58" i="3"/>
  <c r="DJ58" i="3" s="1"/>
  <c r="DI294" i="3"/>
  <c r="DF294" i="3"/>
  <c r="DJ294" i="3" s="1"/>
  <c r="DG294" i="3"/>
  <c r="DH294" i="3"/>
  <c r="DI323" i="3"/>
  <c r="DF323" i="3"/>
  <c r="DJ323" i="3" s="1"/>
  <c r="DG323" i="3"/>
  <c r="DH323" i="3"/>
  <c r="DI335" i="3"/>
  <c r="DF335" i="3"/>
  <c r="DJ335" i="3" s="1"/>
  <c r="DG335" i="3"/>
  <c r="DH335" i="3"/>
  <c r="Q35" i="1"/>
  <c r="AD63" i="1" s="1"/>
  <c r="R35" i="1"/>
  <c r="GK35" i="1" s="1"/>
  <c r="DF20" i="3"/>
  <c r="DJ20" i="3" s="1"/>
  <c r="DG20" i="3"/>
  <c r="DI20" i="3"/>
  <c r="DH20" i="3"/>
  <c r="DF31" i="3"/>
  <c r="DJ31" i="3" s="1"/>
  <c r="DG31" i="3"/>
  <c r="DI31" i="3"/>
  <c r="DH31" i="3"/>
  <c r="GM51" i="1"/>
  <c r="GN51" i="1" s="1"/>
  <c r="GM58" i="1"/>
  <c r="GN58" i="1" s="1"/>
  <c r="W44" i="1"/>
  <c r="DI91" i="3"/>
  <c r="DF91" i="3"/>
  <c r="DJ91" i="3" s="1"/>
  <c r="DG91" i="3"/>
  <c r="DH91" i="3"/>
  <c r="DF90" i="3"/>
  <c r="DJ90" i="3" s="1"/>
  <c r="DG90" i="3"/>
  <c r="DI90" i="3"/>
  <c r="DH90" i="3"/>
  <c r="CP115" i="1"/>
  <c r="O115" i="1" s="1"/>
  <c r="DF120" i="3"/>
  <c r="DJ120" i="3" s="1"/>
  <c r="DG120" i="3"/>
  <c r="DI120" i="3"/>
  <c r="DH120" i="3"/>
  <c r="GM43" i="1"/>
  <c r="GN43" i="1" s="1"/>
  <c r="V57" i="1"/>
  <c r="GX60" i="1"/>
  <c r="DI112" i="3"/>
  <c r="DF112" i="3"/>
  <c r="DJ112" i="3" s="1"/>
  <c r="DG112" i="3"/>
  <c r="DH112" i="3"/>
  <c r="DG128" i="3"/>
  <c r="DH128" i="3"/>
  <c r="DI128" i="3"/>
  <c r="DF128" i="3"/>
  <c r="DJ128" i="3" s="1"/>
  <c r="T44" i="1"/>
  <c r="CP49" i="1"/>
  <c r="O49" i="1" s="1"/>
  <c r="W57" i="1"/>
  <c r="P116" i="1"/>
  <c r="P118" i="1"/>
  <c r="DF144" i="3"/>
  <c r="DJ144" i="3" s="1"/>
  <c r="DG144" i="3"/>
  <c r="DH144" i="3"/>
  <c r="DI144" i="3"/>
  <c r="DI153" i="3"/>
  <c r="DF153" i="3"/>
  <c r="DJ153" i="3" s="1"/>
  <c r="DH153" i="3"/>
  <c r="DG153" i="3"/>
  <c r="DG155" i="3"/>
  <c r="DH155" i="3"/>
  <c r="DF155" i="3"/>
  <c r="DJ155" i="3" s="1"/>
  <c r="DI155" i="3"/>
  <c r="CP61" i="1"/>
  <c r="O61" i="1" s="1"/>
  <c r="CY101" i="1"/>
  <c r="X101" i="1" s="1"/>
  <c r="GM101" i="1" s="1"/>
  <c r="GN101" i="1" s="1"/>
  <c r="CZ101" i="1"/>
  <c r="Y101" i="1" s="1"/>
  <c r="S106" i="1"/>
  <c r="P106" i="1"/>
  <c r="Q106" i="1"/>
  <c r="AD158" i="1" s="1"/>
  <c r="GM112" i="1"/>
  <c r="GN112" i="1" s="1"/>
  <c r="S120" i="1"/>
  <c r="P120" i="1"/>
  <c r="Q120" i="1"/>
  <c r="R120" i="1"/>
  <c r="GK120" i="1" s="1"/>
  <c r="S127" i="1"/>
  <c r="P127" i="1"/>
  <c r="Q127" i="1"/>
  <c r="R127" i="1"/>
  <c r="GK127" i="1" s="1"/>
  <c r="DI158" i="3"/>
  <c r="DF158" i="3"/>
  <c r="DG158" i="3"/>
  <c r="DJ158" i="3" s="1"/>
  <c r="DH158" i="3"/>
  <c r="CY117" i="1"/>
  <c r="X117" i="1" s="1"/>
  <c r="CZ117" i="1"/>
  <c r="Y117" i="1" s="1"/>
  <c r="W116" i="1"/>
  <c r="V120" i="1"/>
  <c r="GX123" i="1"/>
  <c r="CP138" i="1"/>
  <c r="O138" i="1" s="1"/>
  <c r="DI165" i="3"/>
  <c r="DF165" i="3"/>
  <c r="DJ165" i="3" s="1"/>
  <c r="DG165" i="3"/>
  <c r="DH165" i="3"/>
  <c r="DF164" i="3"/>
  <c r="DG164" i="3"/>
  <c r="DJ164" i="3" s="1"/>
  <c r="DI164" i="3"/>
  <c r="DH164" i="3"/>
  <c r="R151" i="1"/>
  <c r="GK151" i="1" s="1"/>
  <c r="S151" i="1"/>
  <c r="Q151" i="1"/>
  <c r="DF177" i="3"/>
  <c r="DJ177" i="3" s="1"/>
  <c r="DG177" i="3"/>
  <c r="DH177" i="3"/>
  <c r="DI177" i="3"/>
  <c r="DH187" i="3"/>
  <c r="DF187" i="3"/>
  <c r="DG187" i="3"/>
  <c r="DJ187" i="3" s="1"/>
  <c r="DI187" i="3"/>
  <c r="R202" i="1"/>
  <c r="GK202" i="1" s="1"/>
  <c r="Q202" i="1"/>
  <c r="S202" i="1"/>
  <c r="W202" i="1"/>
  <c r="T106" i="1"/>
  <c r="W120" i="1"/>
  <c r="GX125" i="1"/>
  <c r="GX127" i="1"/>
  <c r="W141" i="1"/>
  <c r="AZ95" i="1"/>
  <c r="F169" i="1"/>
  <c r="GM119" i="1"/>
  <c r="GN119" i="1" s="1"/>
  <c r="W123" i="1"/>
  <c r="V127" i="1"/>
  <c r="Q145" i="1"/>
  <c r="R145" i="1"/>
  <c r="GK145" i="1" s="1"/>
  <c r="S145" i="1"/>
  <c r="GX145" i="1"/>
  <c r="DF193" i="3"/>
  <c r="DG193" i="3"/>
  <c r="DJ193" i="3" s="1"/>
  <c r="DH193" i="3"/>
  <c r="DI193" i="3"/>
  <c r="GX118" i="1"/>
  <c r="GX120" i="1"/>
  <c r="W127" i="1"/>
  <c r="BB95" i="1"/>
  <c r="F171" i="1"/>
  <c r="DI185" i="3"/>
  <c r="DG185" i="3"/>
  <c r="DH185" i="3"/>
  <c r="DF185" i="3"/>
  <c r="DJ185" i="3" s="1"/>
  <c r="DF207" i="3"/>
  <c r="DJ207" i="3" s="1"/>
  <c r="DG207" i="3"/>
  <c r="DI207" i="3"/>
  <c r="DH207" i="3"/>
  <c r="DH203" i="3"/>
  <c r="DI203" i="3"/>
  <c r="DJ203" i="3" s="1"/>
  <c r="DG203" i="3"/>
  <c r="DF203" i="3"/>
  <c r="DG233" i="3"/>
  <c r="DH233" i="3"/>
  <c r="DI233" i="3"/>
  <c r="DJ233" i="3" s="1"/>
  <c r="DF233" i="3"/>
  <c r="AT95" i="1"/>
  <c r="F176" i="1"/>
  <c r="W146" i="1"/>
  <c r="T213" i="1"/>
  <c r="P213" i="1"/>
  <c r="Q213" i="1"/>
  <c r="DF224" i="3"/>
  <c r="DJ224" i="3" s="1"/>
  <c r="DG224" i="3"/>
  <c r="DH224" i="3"/>
  <c r="DI224" i="3"/>
  <c r="DH230" i="3"/>
  <c r="DI230" i="3"/>
  <c r="DF230" i="3"/>
  <c r="DJ230" i="3" s="1"/>
  <c r="DG230" i="3"/>
  <c r="P218" i="1"/>
  <c r="DF243" i="3"/>
  <c r="DG243" i="3"/>
  <c r="DH243" i="3"/>
  <c r="DI243" i="3"/>
  <c r="DJ243" i="3" s="1"/>
  <c r="DH244" i="3"/>
  <c r="DI244" i="3"/>
  <c r="DF244" i="3"/>
  <c r="DG244" i="3"/>
  <c r="DJ244" i="3" s="1"/>
  <c r="DF263" i="3"/>
  <c r="DJ263" i="3" s="1"/>
  <c r="DG263" i="3"/>
  <c r="DH263" i="3"/>
  <c r="DI263" i="3"/>
  <c r="AP190" i="1"/>
  <c r="F241" i="1"/>
  <c r="DI290" i="3"/>
  <c r="DF290" i="3"/>
  <c r="DJ290" i="3" s="1"/>
  <c r="DH290" i="3"/>
  <c r="DG290" i="3"/>
  <c r="DG288" i="3"/>
  <c r="DH288" i="3"/>
  <c r="DF288" i="3"/>
  <c r="DJ288" i="3" s="1"/>
  <c r="DI288" i="3"/>
  <c r="W145" i="1"/>
  <c r="GX151" i="1"/>
  <c r="DI254" i="3"/>
  <c r="DF254" i="3"/>
  <c r="DG254" i="3"/>
  <c r="DJ254" i="3" s="1"/>
  <c r="DH254" i="3"/>
  <c r="BC190" i="1"/>
  <c r="F248" i="1"/>
  <c r="GM154" i="1"/>
  <c r="GN154" i="1" s="1"/>
  <c r="V202" i="1"/>
  <c r="CY220" i="1"/>
  <c r="X220" i="1" s="1"/>
  <c r="GM220" i="1" s="1"/>
  <c r="GN220" i="1" s="1"/>
  <c r="CZ220" i="1"/>
  <c r="Y220" i="1" s="1"/>
  <c r="P226" i="1"/>
  <c r="BD190" i="1"/>
  <c r="F257" i="1"/>
  <c r="GM270" i="1"/>
  <c r="GN270" i="1" s="1"/>
  <c r="GM275" i="1"/>
  <c r="GN275" i="1" s="1"/>
  <c r="GK311" i="1"/>
  <c r="DG317" i="3"/>
  <c r="DJ317" i="3" s="1"/>
  <c r="DH317" i="3"/>
  <c r="DI317" i="3"/>
  <c r="DF317" i="3"/>
  <c r="R318" i="1"/>
  <c r="GK318" i="1" s="1"/>
  <c r="R323" i="1"/>
  <c r="GK323" i="1" s="1"/>
  <c r="CG309" i="1"/>
  <c r="AX326" i="1"/>
  <c r="AP358" i="1"/>
  <c r="F373" i="1"/>
  <c r="W151" i="1"/>
  <c r="U202" i="1"/>
  <c r="CP208" i="1"/>
  <c r="O208" i="1" s="1"/>
  <c r="CY211" i="1"/>
  <c r="X211" i="1" s="1"/>
  <c r="GM211" i="1" s="1"/>
  <c r="GN211" i="1" s="1"/>
  <c r="CZ211" i="1"/>
  <c r="Y211" i="1" s="1"/>
  <c r="W213" i="1"/>
  <c r="CP214" i="1"/>
  <c r="O214" i="1" s="1"/>
  <c r="CP217" i="1"/>
  <c r="O217" i="1" s="1"/>
  <c r="DI270" i="3"/>
  <c r="DF270" i="3"/>
  <c r="DJ270" i="3" s="1"/>
  <c r="DH270" i="3"/>
  <c r="DG270" i="3"/>
  <c r="DI272" i="3"/>
  <c r="DJ272" i="3" s="1"/>
  <c r="DF272" i="3"/>
  <c r="DH272" i="3"/>
  <c r="DG272" i="3"/>
  <c r="DG282" i="3"/>
  <c r="DH282" i="3"/>
  <c r="DF282" i="3"/>
  <c r="DJ282" i="3" s="1"/>
  <c r="DI282" i="3"/>
  <c r="S272" i="1"/>
  <c r="P272" i="1"/>
  <c r="Q272" i="1"/>
  <c r="R272" i="1"/>
  <c r="GK272" i="1" s="1"/>
  <c r="DH308" i="3"/>
  <c r="DI308" i="3"/>
  <c r="DF308" i="3"/>
  <c r="DJ308" i="3" s="1"/>
  <c r="DG308" i="3"/>
  <c r="BC264" i="1"/>
  <c r="F293" i="1"/>
  <c r="DF324" i="3"/>
  <c r="DG324" i="3"/>
  <c r="DH324" i="3"/>
  <c r="DI324" i="3"/>
  <c r="DJ324" i="3" s="1"/>
  <c r="AF358" i="1"/>
  <c r="S364" i="1"/>
  <c r="AH358" i="1"/>
  <c r="U364" i="1"/>
  <c r="AP264" i="1"/>
  <c r="F286" i="1"/>
  <c r="V318" i="1"/>
  <c r="T323" i="1"/>
  <c r="AJ358" i="1"/>
  <c r="W364" i="1"/>
  <c r="CJ358" i="1"/>
  <c r="BA364" i="1"/>
  <c r="GM320" i="1"/>
  <c r="GN320" i="1" s="1"/>
  <c r="T223" i="1"/>
  <c r="AT190" i="1"/>
  <c r="F250" i="1"/>
  <c r="V272" i="1"/>
  <c r="F335" i="1"/>
  <c r="AP309" i="1"/>
  <c r="AG358" i="1"/>
  <c r="T364" i="1"/>
  <c r="DG30" i="3"/>
  <c r="DJ30" i="3" s="1"/>
  <c r="DH30" i="3"/>
  <c r="DF30" i="3"/>
  <c r="DI30" i="3"/>
  <c r="DH13" i="3"/>
  <c r="DI13" i="3"/>
  <c r="DF13" i="3"/>
  <c r="DJ13" i="3" s="1"/>
  <c r="DG13" i="3"/>
  <c r="DI42" i="3"/>
  <c r="DH42" i="3"/>
  <c r="DF42" i="3"/>
  <c r="DG42" i="3"/>
  <c r="DJ42" i="3" s="1"/>
  <c r="DH106" i="3"/>
  <c r="DI106" i="3"/>
  <c r="DG106" i="3"/>
  <c r="DF106" i="3"/>
  <c r="DJ106" i="3" s="1"/>
  <c r="DH166" i="3"/>
  <c r="DI166" i="3"/>
  <c r="DF166" i="3"/>
  <c r="DJ166" i="3" s="1"/>
  <c r="DG166" i="3"/>
  <c r="DH146" i="3"/>
  <c r="DI146" i="3"/>
  <c r="DG146" i="3"/>
  <c r="DF146" i="3"/>
  <c r="DJ146" i="3" s="1"/>
  <c r="DF188" i="3"/>
  <c r="DH188" i="3"/>
  <c r="DI188" i="3"/>
  <c r="DG188" i="3"/>
  <c r="DJ188" i="3" s="1"/>
  <c r="DI234" i="3"/>
  <c r="DF234" i="3"/>
  <c r="DG234" i="3"/>
  <c r="DJ234" i="3" s="1"/>
  <c r="DH234" i="3"/>
  <c r="DH291" i="3"/>
  <c r="DI291" i="3"/>
  <c r="DG291" i="3"/>
  <c r="DF291" i="3"/>
  <c r="DJ291" i="3" s="1"/>
  <c r="DH287" i="3"/>
  <c r="DI287" i="3"/>
  <c r="DF287" i="3"/>
  <c r="DG287" i="3"/>
  <c r="DJ287" i="3" s="1"/>
  <c r="DF2" i="3"/>
  <c r="DG2" i="3"/>
  <c r="DH2" i="3"/>
  <c r="DI2" i="3"/>
  <c r="DJ2" i="3" s="1"/>
  <c r="DI23" i="3"/>
  <c r="DJ23" i="3" s="1"/>
  <c r="DF23" i="3"/>
  <c r="DH23" i="3"/>
  <c r="DG23" i="3"/>
  <c r="DF59" i="3"/>
  <c r="DJ59" i="3" s="1"/>
  <c r="DG59" i="3"/>
  <c r="DH59" i="3"/>
  <c r="DI59" i="3"/>
  <c r="DH40" i="3"/>
  <c r="DI40" i="3"/>
  <c r="DJ40" i="3" s="1"/>
  <c r="DF40" i="3"/>
  <c r="DG40" i="3"/>
  <c r="DG5" i="3"/>
  <c r="DJ5" i="3" s="1"/>
  <c r="DH5" i="3"/>
  <c r="DI5" i="3"/>
  <c r="DF5" i="3"/>
  <c r="DH22" i="3"/>
  <c r="DI22" i="3"/>
  <c r="DG22" i="3"/>
  <c r="DF22" i="3"/>
  <c r="DJ22" i="3" s="1"/>
  <c r="DH57" i="3"/>
  <c r="DI57" i="3"/>
  <c r="DF57" i="3"/>
  <c r="DJ57" i="3" s="1"/>
  <c r="DG57" i="3"/>
  <c r="DG80" i="3"/>
  <c r="DH80" i="3"/>
  <c r="DI80" i="3"/>
  <c r="DJ80" i="3" s="1"/>
  <c r="DF80" i="3"/>
  <c r="DI108" i="3"/>
  <c r="DJ108" i="3" s="1"/>
  <c r="DG108" i="3"/>
  <c r="DH108" i="3"/>
  <c r="DF108" i="3"/>
  <c r="DH174" i="3"/>
  <c r="DI174" i="3"/>
  <c r="DF174" i="3"/>
  <c r="DJ174" i="3" s="1"/>
  <c r="DG174" i="3"/>
  <c r="DF182" i="3"/>
  <c r="DG182" i="3"/>
  <c r="DH182" i="3"/>
  <c r="DI182" i="3"/>
  <c r="DJ182" i="3" s="1"/>
  <c r="DG202" i="3"/>
  <c r="DH202" i="3"/>
  <c r="DF202" i="3"/>
  <c r="DJ202" i="3" s="1"/>
  <c r="DI202" i="3"/>
  <c r="DF232" i="3"/>
  <c r="DJ232" i="3" s="1"/>
  <c r="DG232" i="3"/>
  <c r="DH232" i="3"/>
  <c r="DI232" i="3"/>
  <c r="DG275" i="3"/>
  <c r="DJ275" i="3" s="1"/>
  <c r="DH275" i="3"/>
  <c r="DI275" i="3"/>
  <c r="DF275" i="3"/>
  <c r="DG292" i="3"/>
  <c r="DH292" i="3"/>
  <c r="DF292" i="3"/>
  <c r="DJ292" i="3" s="1"/>
  <c r="DI292" i="3"/>
  <c r="DG9" i="3"/>
  <c r="DJ9" i="3" s="1"/>
  <c r="DH9" i="3"/>
  <c r="DI9" i="3"/>
  <c r="DF9" i="3"/>
  <c r="DG26" i="3"/>
  <c r="DJ26" i="3" s="1"/>
  <c r="DH26" i="3"/>
  <c r="DF26" i="3"/>
  <c r="DI26" i="3"/>
  <c r="DH3" i="3"/>
  <c r="DI3" i="3"/>
  <c r="DF3" i="3"/>
  <c r="DG3" i="3"/>
  <c r="DJ3" i="3" s="1"/>
  <c r="DG19" i="3"/>
  <c r="DH19" i="3"/>
  <c r="DF19" i="3"/>
  <c r="DJ19" i="3" s="1"/>
  <c r="DI19" i="3"/>
  <c r="DG28" i="3"/>
  <c r="DH28" i="3"/>
  <c r="DF28" i="3"/>
  <c r="DI28" i="3"/>
  <c r="DJ28" i="3" s="1"/>
  <c r="DH33" i="3"/>
  <c r="DI33" i="3"/>
  <c r="DG33" i="3"/>
  <c r="DF33" i="3"/>
  <c r="DJ33" i="3" s="1"/>
  <c r="DH38" i="3"/>
  <c r="DI38" i="3"/>
  <c r="DF38" i="3"/>
  <c r="DJ38" i="3" s="1"/>
  <c r="DG38" i="3"/>
  <c r="DH49" i="3"/>
  <c r="DI49" i="3"/>
  <c r="DF49" i="3"/>
  <c r="DJ49" i="3" s="1"/>
  <c r="DG49" i="3"/>
  <c r="DH66" i="3"/>
  <c r="DI66" i="3"/>
  <c r="DF66" i="3"/>
  <c r="DJ66" i="3" s="1"/>
  <c r="DG66" i="3"/>
  <c r="DG82" i="3"/>
  <c r="DH82" i="3"/>
  <c r="DI82" i="3"/>
  <c r="DJ82" i="3" s="1"/>
  <c r="DF82" i="3"/>
  <c r="DH76" i="3"/>
  <c r="DI76" i="3"/>
  <c r="DF76" i="3"/>
  <c r="DJ76" i="3" s="1"/>
  <c r="DG76" i="3"/>
  <c r="DG72" i="3"/>
  <c r="DH72" i="3"/>
  <c r="DF72" i="3"/>
  <c r="DJ72" i="3" s="1"/>
  <c r="DI72" i="3"/>
  <c r="DG167" i="3"/>
  <c r="DH167" i="3"/>
  <c r="DF167" i="3"/>
  <c r="DJ167" i="3" s="1"/>
  <c r="DI167" i="3"/>
  <c r="DH123" i="3"/>
  <c r="DI123" i="3"/>
  <c r="DF123" i="3"/>
  <c r="DG123" i="3"/>
  <c r="DJ123" i="3" s="1"/>
  <c r="DH133" i="3"/>
  <c r="DI133" i="3"/>
  <c r="DF133" i="3"/>
  <c r="DJ133" i="3" s="1"/>
  <c r="DG133" i="3"/>
  <c r="DF186" i="3"/>
  <c r="DH186" i="3"/>
  <c r="DI186" i="3"/>
  <c r="DJ186" i="3" s="1"/>
  <c r="DG186" i="3"/>
  <c r="DI132" i="3"/>
  <c r="DF132" i="3"/>
  <c r="DJ132" i="3" s="1"/>
  <c r="DG132" i="3"/>
  <c r="DH132" i="3"/>
  <c r="DH201" i="3"/>
  <c r="DI201" i="3"/>
  <c r="DG201" i="3"/>
  <c r="DJ201" i="3" s="1"/>
  <c r="DF201" i="3"/>
  <c r="DH227" i="3"/>
  <c r="DI227" i="3"/>
  <c r="DG227" i="3"/>
  <c r="DJ227" i="3" s="1"/>
  <c r="DF227" i="3"/>
  <c r="DG197" i="3"/>
  <c r="DJ197" i="3" s="1"/>
  <c r="DH197" i="3"/>
  <c r="DI197" i="3"/>
  <c r="DF197" i="3"/>
  <c r="DG223" i="3"/>
  <c r="DH223" i="3"/>
  <c r="DI223" i="3"/>
  <c r="DF223" i="3"/>
  <c r="DJ223" i="3" s="1"/>
  <c r="DG210" i="3"/>
  <c r="DJ210" i="3" s="1"/>
  <c r="DH210" i="3"/>
  <c r="DF210" i="3"/>
  <c r="DI210" i="3"/>
  <c r="DI199" i="3"/>
  <c r="DF199" i="3"/>
  <c r="DJ199" i="3" s="1"/>
  <c r="DG199" i="3"/>
  <c r="DH199" i="3"/>
  <c r="DG273" i="3"/>
  <c r="DJ273" i="3" s="1"/>
  <c r="DH273" i="3"/>
  <c r="DI273" i="3"/>
  <c r="DF273" i="3"/>
  <c r="DH277" i="3"/>
  <c r="DI277" i="3"/>
  <c r="DG277" i="3"/>
  <c r="DF277" i="3"/>
  <c r="DJ277" i="3" s="1"/>
  <c r="DH285" i="3"/>
  <c r="DI285" i="3"/>
  <c r="DF285" i="3"/>
  <c r="DG285" i="3"/>
  <c r="DJ285" i="3" s="1"/>
  <c r="DI314" i="3"/>
  <c r="DF314" i="3"/>
  <c r="DG314" i="3"/>
  <c r="DJ314" i="3" s="1"/>
  <c r="DH314" i="3"/>
  <c r="GM30" i="1"/>
  <c r="GN30" i="1" s="1"/>
  <c r="DI25" i="3"/>
  <c r="DF25" i="3"/>
  <c r="DH25" i="3"/>
  <c r="DG25" i="3"/>
  <c r="DJ25" i="3" s="1"/>
  <c r="R48" i="1"/>
  <c r="GK48" i="1" s="1"/>
  <c r="S48" i="1"/>
  <c r="Q48" i="1"/>
  <c r="DF73" i="3"/>
  <c r="DJ73" i="3" s="1"/>
  <c r="DG73" i="3"/>
  <c r="DI73" i="3"/>
  <c r="DH73" i="3"/>
  <c r="CP59" i="1"/>
  <c r="O59" i="1" s="1"/>
  <c r="BB26" i="1"/>
  <c r="F76" i="1"/>
  <c r="BB394" i="1"/>
  <c r="DI280" i="3"/>
  <c r="DF280" i="3"/>
  <c r="DJ280" i="3" s="1"/>
  <c r="DG280" i="3"/>
  <c r="DH280" i="3"/>
  <c r="DF327" i="3"/>
  <c r="DJ327" i="3" s="1"/>
  <c r="DG327" i="3"/>
  <c r="DH327" i="3"/>
  <c r="DI327" i="3"/>
  <c r="DF10" i="3"/>
  <c r="DJ10" i="3" s="1"/>
  <c r="DG10" i="3"/>
  <c r="DH10" i="3"/>
  <c r="DI10" i="3"/>
  <c r="DF36" i="3"/>
  <c r="DJ36" i="3" s="1"/>
  <c r="DG36" i="3"/>
  <c r="DI36" i="3"/>
  <c r="DH36" i="3"/>
  <c r="DF306" i="3"/>
  <c r="DG306" i="3"/>
  <c r="DJ306" i="3" s="1"/>
  <c r="DH306" i="3"/>
  <c r="DI306" i="3"/>
  <c r="DI56" i="3"/>
  <c r="DF56" i="3"/>
  <c r="DJ56" i="3" s="1"/>
  <c r="DG56" i="3"/>
  <c r="DH56" i="3"/>
  <c r="DG41" i="3"/>
  <c r="DJ41" i="3" s="1"/>
  <c r="DF41" i="3"/>
  <c r="DH41" i="3"/>
  <c r="DI41" i="3"/>
  <c r="DF47" i="3"/>
  <c r="DJ47" i="3" s="1"/>
  <c r="DG47" i="3"/>
  <c r="DH47" i="3"/>
  <c r="DI47" i="3"/>
  <c r="DG54" i="3"/>
  <c r="DH54" i="3"/>
  <c r="DI54" i="3"/>
  <c r="DF54" i="3"/>
  <c r="DJ54" i="3" s="1"/>
  <c r="P60" i="1"/>
  <c r="BD26" i="1"/>
  <c r="F88" i="1"/>
  <c r="BD394" i="1"/>
  <c r="DF338" i="3"/>
  <c r="DJ338" i="3" s="1"/>
  <c r="DG338" i="3"/>
  <c r="DH338" i="3"/>
  <c r="DI338" i="3"/>
  <c r="Q37" i="1"/>
  <c r="R37" i="1"/>
  <c r="GK37" i="1" s="1"/>
  <c r="W37" i="1"/>
  <c r="AJ63" i="1" s="1"/>
  <c r="P37" i="1"/>
  <c r="AC63" i="1" s="1"/>
  <c r="S37" i="1"/>
  <c r="DF15" i="3"/>
  <c r="DJ15" i="3" s="1"/>
  <c r="DG15" i="3"/>
  <c r="DH15" i="3"/>
  <c r="DI15" i="3"/>
  <c r="CP38" i="1"/>
  <c r="O38" i="1" s="1"/>
  <c r="GM38" i="1" s="1"/>
  <c r="GN38" i="1" s="1"/>
  <c r="GM53" i="1"/>
  <c r="GN53" i="1" s="1"/>
  <c r="CY59" i="1"/>
  <c r="X59" i="1" s="1"/>
  <c r="CZ59" i="1"/>
  <c r="Y59" i="1" s="1"/>
  <c r="S35" i="1"/>
  <c r="GX48" i="1"/>
  <c r="U55" i="1"/>
  <c r="DI87" i="3"/>
  <c r="DF87" i="3"/>
  <c r="DH87" i="3"/>
  <c r="DG87" i="3"/>
  <c r="DJ87" i="3" s="1"/>
  <c r="R116" i="1"/>
  <c r="GK116" i="1" s="1"/>
  <c r="S116" i="1"/>
  <c r="Q116" i="1"/>
  <c r="CP122" i="1"/>
  <c r="O122" i="1" s="1"/>
  <c r="T48" i="1"/>
  <c r="T55" i="1"/>
  <c r="CG26" i="1"/>
  <c r="AX63" i="1"/>
  <c r="DG114" i="3"/>
  <c r="DH114" i="3"/>
  <c r="DI114" i="3"/>
  <c r="DF114" i="3"/>
  <c r="DJ114" i="3" s="1"/>
  <c r="DF125" i="3"/>
  <c r="DJ125" i="3" s="1"/>
  <c r="DG125" i="3"/>
  <c r="DH125" i="3"/>
  <c r="DI125" i="3"/>
  <c r="DG124" i="3"/>
  <c r="DH124" i="3"/>
  <c r="DF124" i="3"/>
  <c r="DJ124" i="3" s="1"/>
  <c r="DI124" i="3"/>
  <c r="GX44" i="1"/>
  <c r="T60" i="1"/>
  <c r="BC26" i="1"/>
  <c r="F79" i="1"/>
  <c r="BC394" i="1"/>
  <c r="P130" i="1"/>
  <c r="S130" i="1"/>
  <c r="Q130" i="1"/>
  <c r="DI141" i="3"/>
  <c r="DF141" i="3"/>
  <c r="DG141" i="3"/>
  <c r="DJ141" i="3" s="1"/>
  <c r="DH141" i="3"/>
  <c r="DF148" i="3"/>
  <c r="DJ148" i="3" s="1"/>
  <c r="DG148" i="3"/>
  <c r="DI148" i="3"/>
  <c r="DH148" i="3"/>
  <c r="DG151" i="3"/>
  <c r="DH151" i="3"/>
  <c r="DF151" i="3"/>
  <c r="DJ151" i="3" s="1"/>
  <c r="DI151" i="3"/>
  <c r="GM56" i="1"/>
  <c r="GN56" i="1" s="1"/>
  <c r="GM114" i="1"/>
  <c r="GN114" i="1" s="1"/>
  <c r="GM121" i="1"/>
  <c r="GN121" i="1" s="1"/>
  <c r="DF135" i="3"/>
  <c r="DJ135" i="3" s="1"/>
  <c r="DG135" i="3"/>
  <c r="DH135" i="3"/>
  <c r="DI135" i="3"/>
  <c r="GM126" i="1"/>
  <c r="GN126" i="1" s="1"/>
  <c r="CY144" i="1"/>
  <c r="X144" i="1" s="1"/>
  <c r="CZ144" i="1"/>
  <c r="Y144" i="1" s="1"/>
  <c r="DH163" i="3"/>
  <c r="DI163" i="3"/>
  <c r="DJ163" i="3" s="1"/>
  <c r="DF163" i="3"/>
  <c r="DG163" i="3"/>
  <c r="R153" i="1"/>
  <c r="GK153" i="1" s="1"/>
  <c r="S153" i="1"/>
  <c r="Q153" i="1"/>
  <c r="AQ95" i="1"/>
  <c r="F168" i="1"/>
  <c r="AQ394" i="1"/>
  <c r="DF200" i="3"/>
  <c r="DG200" i="3"/>
  <c r="DH200" i="3"/>
  <c r="DI200" i="3"/>
  <c r="DJ200" i="3" s="1"/>
  <c r="GX106" i="1"/>
  <c r="CJ158" i="1" s="1"/>
  <c r="W130" i="1"/>
  <c r="GX141" i="1"/>
  <c r="DI173" i="3"/>
  <c r="DF173" i="3"/>
  <c r="DJ173" i="3" s="1"/>
  <c r="DG173" i="3"/>
  <c r="DH173" i="3"/>
  <c r="BD95" i="1"/>
  <c r="F183" i="1"/>
  <c r="U106" i="1"/>
  <c r="U116" i="1"/>
  <c r="CY124" i="1"/>
  <c r="X124" i="1" s="1"/>
  <c r="CZ124" i="1"/>
  <c r="Y124" i="1" s="1"/>
  <c r="T125" i="1"/>
  <c r="CZ138" i="1"/>
  <c r="Y138" i="1" s="1"/>
  <c r="CY138" i="1"/>
  <c r="X138" i="1" s="1"/>
  <c r="R141" i="1"/>
  <c r="GK141" i="1" s="1"/>
  <c r="P151" i="1"/>
  <c r="CP151" i="1" s="1"/>
  <c r="O151" i="1" s="1"/>
  <c r="P153" i="1"/>
  <c r="CP153" i="1" s="1"/>
  <c r="O153" i="1" s="1"/>
  <c r="AO95" i="1"/>
  <c r="F162" i="1"/>
  <c r="CP194" i="1"/>
  <c r="O194" i="1" s="1"/>
  <c r="GM194" i="1" s="1"/>
  <c r="GN194" i="1" s="1"/>
  <c r="DI194" i="3"/>
  <c r="DF194" i="3"/>
  <c r="DJ194" i="3" s="1"/>
  <c r="DH194" i="3"/>
  <c r="DG194" i="3"/>
  <c r="DF214" i="3"/>
  <c r="DJ214" i="3" s="1"/>
  <c r="DG214" i="3"/>
  <c r="DH214" i="3"/>
  <c r="DI214" i="3"/>
  <c r="R106" i="1"/>
  <c r="GK106" i="1" s="1"/>
  <c r="T130" i="1"/>
  <c r="CP136" i="1"/>
  <c r="O136" i="1" s="1"/>
  <c r="CP140" i="1"/>
  <c r="O140" i="1" s="1"/>
  <c r="GM140" i="1" s="1"/>
  <c r="GN140" i="1" s="1"/>
  <c r="CG95" i="1"/>
  <c r="AX158" i="1"/>
  <c r="DG240" i="3"/>
  <c r="DH240" i="3"/>
  <c r="DI240" i="3"/>
  <c r="DF240" i="3"/>
  <c r="DJ240" i="3" s="1"/>
  <c r="DH239" i="3"/>
  <c r="DI239" i="3"/>
  <c r="DF239" i="3"/>
  <c r="DJ239" i="3" s="1"/>
  <c r="DG239" i="3"/>
  <c r="U130" i="1"/>
  <c r="U151" i="1"/>
  <c r="GX153" i="1"/>
  <c r="GM209" i="1"/>
  <c r="GN209" i="1" s="1"/>
  <c r="DI221" i="3"/>
  <c r="DF221" i="3"/>
  <c r="DG221" i="3"/>
  <c r="DJ221" i="3" s="1"/>
  <c r="DH221" i="3"/>
  <c r="Q218" i="1"/>
  <c r="S218" i="1"/>
  <c r="DF228" i="3"/>
  <c r="DG228" i="3"/>
  <c r="DJ228" i="3" s="1"/>
  <c r="DH228" i="3"/>
  <c r="DI228" i="3"/>
  <c r="DF260" i="3"/>
  <c r="DG260" i="3"/>
  <c r="DJ260" i="3" s="1"/>
  <c r="DH260" i="3"/>
  <c r="DI260" i="3"/>
  <c r="DG262" i="3"/>
  <c r="DH262" i="3"/>
  <c r="DF262" i="3"/>
  <c r="DJ262" i="3" s="1"/>
  <c r="DI262" i="3"/>
  <c r="BB190" i="1"/>
  <c r="F245" i="1"/>
  <c r="DF286" i="3"/>
  <c r="DG286" i="3"/>
  <c r="DJ286" i="3" s="1"/>
  <c r="DH286" i="3"/>
  <c r="DI286" i="3"/>
  <c r="DH303" i="3"/>
  <c r="DI303" i="3"/>
  <c r="DF303" i="3"/>
  <c r="DJ303" i="3" s="1"/>
  <c r="DG303" i="3"/>
  <c r="DH331" i="3"/>
  <c r="DI331" i="3"/>
  <c r="DF331" i="3"/>
  <c r="DJ331" i="3" s="1"/>
  <c r="DG331" i="3"/>
  <c r="CP152" i="1"/>
  <c r="O152" i="1" s="1"/>
  <c r="GM152" i="1" s="1"/>
  <c r="GN152" i="1" s="1"/>
  <c r="V153" i="1"/>
  <c r="CZ204" i="1"/>
  <c r="Y204" i="1" s="1"/>
  <c r="CY204" i="1"/>
  <c r="X204" i="1" s="1"/>
  <c r="CY217" i="1"/>
  <c r="X217" i="1" s="1"/>
  <c r="CZ217" i="1"/>
  <c r="Y217" i="1" s="1"/>
  <c r="DF256" i="3"/>
  <c r="DJ256" i="3" s="1"/>
  <c r="DG256" i="3"/>
  <c r="DH256" i="3"/>
  <c r="DI256" i="3"/>
  <c r="V151" i="1"/>
  <c r="GM196" i="1"/>
  <c r="GN196" i="1" s="1"/>
  <c r="P202" i="1"/>
  <c r="CP202" i="1" s="1"/>
  <c r="O202" i="1" s="1"/>
  <c r="GX202" i="1"/>
  <c r="CP205" i="1"/>
  <c r="O205" i="1" s="1"/>
  <c r="P230" i="1"/>
  <c r="Q230" i="1"/>
  <c r="S230" i="1"/>
  <c r="CI190" i="1"/>
  <c r="AZ232" i="1"/>
  <c r="P274" i="1"/>
  <c r="CP274" i="1" s="1"/>
  <c r="O274" i="1" s="1"/>
  <c r="Q274" i="1"/>
  <c r="S274" i="1"/>
  <c r="DG315" i="3"/>
  <c r="DJ315" i="3" s="1"/>
  <c r="DH315" i="3"/>
  <c r="DI315" i="3"/>
  <c r="DF315" i="3"/>
  <c r="GM317" i="1"/>
  <c r="GN317" i="1" s="1"/>
  <c r="CP322" i="1"/>
  <c r="O322" i="1" s="1"/>
  <c r="GM322" i="1" s="1"/>
  <c r="GN322" i="1" s="1"/>
  <c r="BB358" i="1"/>
  <c r="F377" i="1"/>
  <c r="GM148" i="1"/>
  <c r="GN148" i="1" s="1"/>
  <c r="CP155" i="1"/>
  <c r="O155" i="1" s="1"/>
  <c r="CP212" i="1"/>
  <c r="O212" i="1" s="1"/>
  <c r="GX213" i="1"/>
  <c r="GM219" i="1"/>
  <c r="GN219" i="1" s="1"/>
  <c r="S228" i="1"/>
  <c r="P228" i="1"/>
  <c r="Q228" i="1"/>
  <c r="R228" i="1"/>
  <c r="GK228" i="1" s="1"/>
  <c r="DF279" i="3"/>
  <c r="DJ279" i="3" s="1"/>
  <c r="DG279" i="3"/>
  <c r="DI279" i="3"/>
  <c r="DH279" i="3"/>
  <c r="S268" i="1"/>
  <c r="P268" i="1"/>
  <c r="Q268" i="1"/>
  <c r="R268" i="1"/>
  <c r="DG326" i="3"/>
  <c r="DH326" i="3"/>
  <c r="DI326" i="3"/>
  <c r="DF326" i="3"/>
  <c r="DJ326" i="3" s="1"/>
  <c r="S321" i="1"/>
  <c r="P321" i="1"/>
  <c r="Q321" i="1"/>
  <c r="R321" i="1"/>
  <c r="GK321" i="1" s="1"/>
  <c r="DH336" i="3"/>
  <c r="DI336" i="3"/>
  <c r="DF336" i="3"/>
  <c r="DJ336" i="3" s="1"/>
  <c r="DG336" i="3"/>
  <c r="BD358" i="1"/>
  <c r="F389" i="1"/>
  <c r="U213" i="1"/>
  <c r="U223" i="1"/>
  <c r="GX230" i="1"/>
  <c r="AT264" i="1"/>
  <c r="F295" i="1"/>
  <c r="W272" i="1"/>
  <c r="AJ277" i="1" s="1"/>
  <c r="W274" i="1"/>
  <c r="W223" i="1"/>
  <c r="V228" i="1"/>
  <c r="AZ277" i="1"/>
  <c r="CI264" i="1"/>
  <c r="GM271" i="1"/>
  <c r="GN271" i="1" s="1"/>
  <c r="V323" i="1"/>
  <c r="T218" i="1"/>
  <c r="W226" i="1"/>
  <c r="T272" i="1"/>
  <c r="AG277" i="1" s="1"/>
  <c r="F345" i="1"/>
  <c r="AU309" i="1"/>
  <c r="GX318" i="1"/>
  <c r="CG358" i="1"/>
  <c r="AX364" i="1"/>
  <c r="GX268" i="1"/>
  <c r="CJ277" i="1" s="1"/>
  <c r="T274" i="1"/>
  <c r="T318" i="1"/>
  <c r="AG326" i="1" s="1"/>
  <c r="GM361" i="1"/>
  <c r="GP361" i="1" s="1"/>
  <c r="CD364" i="1" s="1"/>
  <c r="GX321" i="1"/>
  <c r="DG11" i="3"/>
  <c r="DH11" i="3"/>
  <c r="DI11" i="3"/>
  <c r="DJ11" i="3" s="1"/>
  <c r="DF11" i="3"/>
  <c r="DG77" i="3"/>
  <c r="DH77" i="3"/>
  <c r="DF77" i="3"/>
  <c r="DJ77" i="3" s="1"/>
  <c r="DI77" i="3"/>
  <c r="DG84" i="3"/>
  <c r="DJ84" i="3" s="1"/>
  <c r="DH84" i="3"/>
  <c r="DI84" i="3"/>
  <c r="DF84" i="3"/>
  <c r="DH142" i="3"/>
  <c r="DI142" i="3"/>
  <c r="DF142" i="3"/>
  <c r="DJ142" i="3" s="1"/>
  <c r="DG142" i="3"/>
  <c r="DH170" i="3"/>
  <c r="DI170" i="3"/>
  <c r="DG170" i="3"/>
  <c r="DF170" i="3"/>
  <c r="DJ170" i="3" s="1"/>
  <c r="DH205" i="3"/>
  <c r="DI205" i="3"/>
  <c r="DG205" i="3"/>
  <c r="DJ205" i="3" s="1"/>
  <c r="DF205" i="3"/>
  <c r="DH266" i="3"/>
  <c r="DI266" i="3"/>
  <c r="DF266" i="3"/>
  <c r="DG266" i="3"/>
  <c r="DJ266" i="3" s="1"/>
  <c r="DF241" i="3"/>
  <c r="DJ241" i="3" s="1"/>
  <c r="DG241" i="3"/>
  <c r="DH241" i="3"/>
  <c r="DI241" i="3"/>
  <c r="CP32" i="1"/>
  <c r="O32" i="1" s="1"/>
  <c r="DI67" i="3"/>
  <c r="DJ67" i="3" s="1"/>
  <c r="DF67" i="3"/>
  <c r="DG67" i="3"/>
  <c r="DH67" i="3"/>
  <c r="CZ34" i="1"/>
  <c r="Y34" i="1" s="1"/>
  <c r="CY34" i="1"/>
  <c r="X34" i="1" s="1"/>
  <c r="GM34" i="1" s="1"/>
  <c r="GN34" i="1" s="1"/>
  <c r="DI311" i="3"/>
  <c r="DF311" i="3"/>
  <c r="DJ311" i="3" s="1"/>
  <c r="DG311" i="3"/>
  <c r="DH311" i="3"/>
  <c r="DI52" i="3"/>
  <c r="DF52" i="3"/>
  <c r="DJ52" i="3" s="1"/>
  <c r="DG52" i="3"/>
  <c r="DH52" i="3"/>
  <c r="CI26" i="1"/>
  <c r="AZ63" i="1"/>
  <c r="CP36" i="1"/>
  <c r="O36" i="1" s="1"/>
  <c r="GM36" i="1" s="1"/>
  <c r="GN36" i="1" s="1"/>
  <c r="DI17" i="3"/>
  <c r="DF17" i="3"/>
  <c r="DH17" i="3"/>
  <c r="DG17" i="3"/>
  <c r="DJ17" i="3" s="1"/>
  <c r="DI29" i="3"/>
  <c r="DF29" i="3"/>
  <c r="DH29" i="3"/>
  <c r="DG29" i="3"/>
  <c r="DJ29" i="3" s="1"/>
  <c r="AO26" i="1"/>
  <c r="F67" i="1"/>
  <c r="AO394" i="1"/>
  <c r="DF79" i="3"/>
  <c r="DJ79" i="3" s="1"/>
  <c r="DG79" i="3"/>
  <c r="DH79" i="3"/>
  <c r="DI79" i="3"/>
  <c r="GX55" i="1"/>
  <c r="CY100" i="1"/>
  <c r="X100" i="1" s="1"/>
  <c r="GM100" i="1" s="1"/>
  <c r="GN100" i="1" s="1"/>
  <c r="CZ100" i="1"/>
  <c r="Y100" i="1" s="1"/>
  <c r="DF98" i="3"/>
  <c r="DJ98" i="3" s="1"/>
  <c r="DG98" i="3"/>
  <c r="DI98" i="3"/>
  <c r="DH98" i="3"/>
  <c r="DI85" i="3"/>
  <c r="DF85" i="3"/>
  <c r="DH85" i="3"/>
  <c r="DG85" i="3"/>
  <c r="DJ85" i="3" s="1"/>
  <c r="R118" i="1"/>
  <c r="GK118" i="1" s="1"/>
  <c r="S118" i="1"/>
  <c r="AF158" i="1" s="1"/>
  <c r="Q118" i="1"/>
  <c r="R123" i="1"/>
  <c r="GK123" i="1" s="1"/>
  <c r="S123" i="1"/>
  <c r="Q123" i="1"/>
  <c r="DG130" i="3"/>
  <c r="DH130" i="3"/>
  <c r="DI130" i="3"/>
  <c r="DF130" i="3"/>
  <c r="DJ130" i="3" s="1"/>
  <c r="DG109" i="3"/>
  <c r="DJ109" i="3" s="1"/>
  <c r="DI109" i="3"/>
  <c r="DF109" i="3"/>
  <c r="DH109" i="3"/>
  <c r="DF111" i="3"/>
  <c r="DJ111" i="3" s="1"/>
  <c r="DG111" i="3"/>
  <c r="DH111" i="3"/>
  <c r="DI111" i="3"/>
  <c r="DF122" i="3"/>
  <c r="DG122" i="3"/>
  <c r="DI122" i="3"/>
  <c r="DJ122" i="3" s="1"/>
  <c r="DH122" i="3"/>
  <c r="CY49" i="1"/>
  <c r="X49" i="1" s="1"/>
  <c r="CZ49" i="1"/>
  <c r="Y49" i="1" s="1"/>
  <c r="V60" i="1"/>
  <c r="DI105" i="3"/>
  <c r="DF105" i="3"/>
  <c r="DJ105" i="3" s="1"/>
  <c r="DH105" i="3"/>
  <c r="DG105" i="3"/>
  <c r="P123" i="1"/>
  <c r="CP123" i="1" s="1"/>
  <c r="O123" i="1" s="1"/>
  <c r="DF152" i="3"/>
  <c r="DJ152" i="3" s="1"/>
  <c r="DG152" i="3"/>
  <c r="DH152" i="3"/>
  <c r="DI152" i="3"/>
  <c r="DI139" i="3"/>
  <c r="DF139" i="3"/>
  <c r="DG139" i="3"/>
  <c r="DJ139" i="3" s="1"/>
  <c r="DH139" i="3"/>
  <c r="DI145" i="3"/>
  <c r="DF145" i="3"/>
  <c r="DJ145" i="3" s="1"/>
  <c r="DH145" i="3"/>
  <c r="DG145" i="3"/>
  <c r="DG147" i="3"/>
  <c r="DH147" i="3"/>
  <c r="DF147" i="3"/>
  <c r="DJ147" i="3" s="1"/>
  <c r="DI147" i="3"/>
  <c r="CY61" i="1"/>
  <c r="X61" i="1" s="1"/>
  <c r="CZ61" i="1"/>
  <c r="Y61" i="1" s="1"/>
  <c r="CY115" i="1"/>
  <c r="X115" i="1" s="1"/>
  <c r="CZ115" i="1"/>
  <c r="Y115" i="1" s="1"/>
  <c r="CY122" i="1"/>
  <c r="X122" i="1" s="1"/>
  <c r="CZ122" i="1"/>
  <c r="Y122" i="1" s="1"/>
  <c r="DF131" i="3"/>
  <c r="DJ131" i="3" s="1"/>
  <c r="DG131" i="3"/>
  <c r="DH131" i="3"/>
  <c r="DI131" i="3"/>
  <c r="GM117" i="1"/>
  <c r="GN117" i="1" s="1"/>
  <c r="V118" i="1"/>
  <c r="S146" i="1"/>
  <c r="P146" i="1"/>
  <c r="CP146" i="1" s="1"/>
  <c r="O146" i="1" s="1"/>
  <c r="Q146" i="1"/>
  <c r="T146" i="1"/>
  <c r="DI181" i="3"/>
  <c r="DF181" i="3"/>
  <c r="DJ181" i="3" s="1"/>
  <c r="DG181" i="3"/>
  <c r="DH181" i="3"/>
  <c r="DG179" i="3"/>
  <c r="DH179" i="3"/>
  <c r="DI179" i="3"/>
  <c r="DF179" i="3"/>
  <c r="DJ179" i="3" s="1"/>
  <c r="AU95" i="1"/>
  <c r="F177" i="1"/>
  <c r="DI189" i="3"/>
  <c r="DG189" i="3"/>
  <c r="DH189" i="3"/>
  <c r="DF189" i="3"/>
  <c r="DJ189" i="3" s="1"/>
  <c r="V123" i="1"/>
  <c r="CZ136" i="1"/>
  <c r="Y136" i="1" s="1"/>
  <c r="CY136" i="1"/>
  <c r="X136" i="1" s="1"/>
  <c r="R146" i="1"/>
  <c r="GK146" i="1" s="1"/>
  <c r="DF172" i="3"/>
  <c r="DJ172" i="3" s="1"/>
  <c r="DG172" i="3"/>
  <c r="DI172" i="3"/>
  <c r="DH172" i="3"/>
  <c r="DI196" i="3"/>
  <c r="DJ196" i="3" s="1"/>
  <c r="DF196" i="3"/>
  <c r="DH196" i="3"/>
  <c r="DG196" i="3"/>
  <c r="CY143" i="1"/>
  <c r="X143" i="1" s="1"/>
  <c r="GM143" i="1" s="1"/>
  <c r="GN143" i="1" s="1"/>
  <c r="CZ143" i="1"/>
  <c r="Y143" i="1" s="1"/>
  <c r="DI183" i="3"/>
  <c r="DF183" i="3"/>
  <c r="DJ183" i="3" s="1"/>
  <c r="DG183" i="3"/>
  <c r="DH183" i="3"/>
  <c r="DI211" i="3"/>
  <c r="DF211" i="3"/>
  <c r="DG211" i="3"/>
  <c r="DJ211" i="3" s="1"/>
  <c r="DH211" i="3"/>
  <c r="DI215" i="3"/>
  <c r="DF215" i="3"/>
  <c r="DJ215" i="3" s="1"/>
  <c r="DG215" i="3"/>
  <c r="DH215" i="3"/>
  <c r="GK193" i="1"/>
  <c r="GM193" i="1" s="1"/>
  <c r="DF204" i="3"/>
  <c r="DG204" i="3"/>
  <c r="DJ204" i="3" s="1"/>
  <c r="DH204" i="3"/>
  <c r="DI204" i="3"/>
  <c r="DG237" i="3"/>
  <c r="DJ237" i="3" s="1"/>
  <c r="DH237" i="3"/>
  <c r="DI237" i="3"/>
  <c r="DF237" i="3"/>
  <c r="GM144" i="1"/>
  <c r="GN144" i="1" s="1"/>
  <c r="CY152" i="1"/>
  <c r="X152" i="1" s="1"/>
  <c r="CZ152" i="1"/>
  <c r="Y152" i="1" s="1"/>
  <c r="CZ203" i="1"/>
  <c r="Y203" i="1" s="1"/>
  <c r="CY203" i="1"/>
  <c r="X203" i="1" s="1"/>
  <c r="DI219" i="3"/>
  <c r="DF219" i="3"/>
  <c r="DG219" i="3"/>
  <c r="DJ219" i="3" s="1"/>
  <c r="DH219" i="3"/>
  <c r="Q216" i="1"/>
  <c r="AD232" i="1" s="1"/>
  <c r="W216" i="1"/>
  <c r="P216" i="1"/>
  <c r="S216" i="1"/>
  <c r="T216" i="1"/>
  <c r="DF226" i="3"/>
  <c r="DG226" i="3"/>
  <c r="DH226" i="3"/>
  <c r="DI226" i="3"/>
  <c r="DJ226" i="3" s="1"/>
  <c r="R216" i="1"/>
  <c r="GK216" i="1" s="1"/>
  <c r="DF248" i="3"/>
  <c r="DG248" i="3"/>
  <c r="DJ248" i="3" s="1"/>
  <c r="DH248" i="3"/>
  <c r="DI248" i="3"/>
  <c r="DI264" i="3"/>
  <c r="DF264" i="3"/>
  <c r="DJ264" i="3" s="1"/>
  <c r="DH264" i="3"/>
  <c r="DG264" i="3"/>
  <c r="CG190" i="1"/>
  <c r="AX232" i="1"/>
  <c r="DF284" i="3"/>
  <c r="DG284" i="3"/>
  <c r="DJ284" i="3" s="1"/>
  <c r="DH284" i="3"/>
  <c r="DI284" i="3"/>
  <c r="DH283" i="3"/>
  <c r="DI283" i="3"/>
  <c r="DJ283" i="3" s="1"/>
  <c r="DF283" i="3"/>
  <c r="DG283" i="3"/>
  <c r="CP311" i="1"/>
  <c r="O311" i="1" s="1"/>
  <c r="AQ190" i="1"/>
  <c r="F242" i="1"/>
  <c r="T153" i="1"/>
  <c r="CP203" i="1"/>
  <c r="O203" i="1" s="1"/>
  <c r="GM203" i="1" s="1"/>
  <c r="GN203" i="1" s="1"/>
  <c r="DG313" i="3"/>
  <c r="DH313" i="3"/>
  <c r="DI313" i="3"/>
  <c r="DJ313" i="3" s="1"/>
  <c r="DF313" i="3"/>
  <c r="CH364" i="1"/>
  <c r="CF364" i="1"/>
  <c r="P364" i="1"/>
  <c r="CE364" i="1"/>
  <c r="AC358" i="1"/>
  <c r="U146" i="1"/>
  <c r="GM149" i="1"/>
  <c r="GN149" i="1" s="1"/>
  <c r="CY155" i="1"/>
  <c r="X155" i="1" s="1"/>
  <c r="CZ155" i="1"/>
  <c r="Y155" i="1" s="1"/>
  <c r="CY214" i="1"/>
  <c r="X214" i="1" s="1"/>
  <c r="CZ214" i="1"/>
  <c r="Y214" i="1" s="1"/>
  <c r="U216" i="1"/>
  <c r="S223" i="1"/>
  <c r="P223" i="1"/>
  <c r="Q223" i="1"/>
  <c r="R223" i="1"/>
  <c r="GK223" i="1" s="1"/>
  <c r="DF269" i="3"/>
  <c r="DG269" i="3"/>
  <c r="DJ269" i="3" s="1"/>
  <c r="DH269" i="3"/>
  <c r="DI269" i="3"/>
  <c r="DI276" i="3"/>
  <c r="DF276" i="3"/>
  <c r="DH276" i="3"/>
  <c r="DG276" i="3"/>
  <c r="DJ276" i="3" s="1"/>
  <c r="AD277" i="1"/>
  <c r="DG309" i="3"/>
  <c r="DH309" i="3"/>
  <c r="DI309" i="3"/>
  <c r="DF309" i="3"/>
  <c r="DJ309" i="3" s="1"/>
  <c r="DG337" i="3"/>
  <c r="DH337" i="3"/>
  <c r="DI337" i="3"/>
  <c r="DF337" i="3"/>
  <c r="DJ337" i="3" s="1"/>
  <c r="BC309" i="1"/>
  <c r="F342" i="1"/>
  <c r="CI358" i="1"/>
  <c r="AZ364" i="1"/>
  <c r="W218" i="1"/>
  <c r="V223" i="1"/>
  <c r="U226" i="1"/>
  <c r="AI358" i="1"/>
  <c r="V364" i="1"/>
  <c r="AQ358" i="1"/>
  <c r="F374" i="1"/>
  <c r="F336" i="1"/>
  <c r="AQ309" i="1"/>
  <c r="AZ326" i="1"/>
  <c r="CI309" i="1"/>
  <c r="AT309" i="1"/>
  <c r="F344" i="1"/>
  <c r="GN360" i="1"/>
  <c r="CB364" i="1" s="1"/>
  <c r="CA364" i="1"/>
  <c r="DI70" i="3"/>
  <c r="DF70" i="3"/>
  <c r="DJ70" i="3" s="1"/>
  <c r="DH70" i="3"/>
  <c r="DG70" i="3"/>
  <c r="DG103" i="3"/>
  <c r="DH103" i="3"/>
  <c r="DF103" i="3"/>
  <c r="DJ103" i="3" s="1"/>
  <c r="DI103" i="3"/>
  <c r="DG89" i="3"/>
  <c r="DH89" i="3"/>
  <c r="DF89" i="3"/>
  <c r="DJ89" i="3" s="1"/>
  <c r="DI89" i="3"/>
  <c r="DH113" i="3"/>
  <c r="DI113" i="3"/>
  <c r="DF113" i="3"/>
  <c r="DJ113" i="3" s="1"/>
  <c r="DG113" i="3"/>
  <c r="DH161" i="3"/>
  <c r="DI161" i="3"/>
  <c r="DF161" i="3"/>
  <c r="DJ161" i="3" s="1"/>
  <c r="DG161" i="3"/>
  <c r="DG220" i="3"/>
  <c r="DJ220" i="3" s="1"/>
  <c r="DH220" i="3"/>
  <c r="DF220" i="3"/>
  <c r="DI220" i="3"/>
  <c r="DI225" i="3"/>
  <c r="DF225" i="3"/>
  <c r="DJ225" i="3" s="1"/>
  <c r="DG225" i="3"/>
  <c r="DH225" i="3"/>
  <c r="R60" i="1"/>
  <c r="GK60" i="1" s="1"/>
  <c r="S60" i="1"/>
  <c r="Q60" i="1"/>
  <c r="DF334" i="3"/>
  <c r="DJ334" i="3" s="1"/>
  <c r="DG334" i="3"/>
  <c r="DH334" i="3"/>
  <c r="DI334" i="3"/>
  <c r="DI65" i="3"/>
  <c r="DF65" i="3"/>
  <c r="DJ65" i="3" s="1"/>
  <c r="DG65" i="3"/>
  <c r="DH65" i="3"/>
  <c r="AG63" i="1"/>
  <c r="DG50" i="3"/>
  <c r="DH50" i="3"/>
  <c r="DI50" i="3"/>
  <c r="DF50" i="3"/>
  <c r="DJ50" i="3" s="1"/>
  <c r="DI328" i="3"/>
  <c r="DF328" i="3"/>
  <c r="DJ328" i="3" s="1"/>
  <c r="DG328" i="3"/>
  <c r="DH328" i="3"/>
  <c r="DG35" i="3"/>
  <c r="DJ35" i="3" s="1"/>
  <c r="DH35" i="3"/>
  <c r="DF35" i="3"/>
  <c r="DI35" i="3"/>
  <c r="DG14" i="3"/>
  <c r="DH14" i="3"/>
  <c r="DI14" i="3"/>
  <c r="DF14" i="3"/>
  <c r="DJ14" i="3" s="1"/>
  <c r="DG68" i="3"/>
  <c r="DJ68" i="3" s="1"/>
  <c r="DH68" i="3"/>
  <c r="DF68" i="3"/>
  <c r="DI68" i="3"/>
  <c r="DG93" i="3"/>
  <c r="DH93" i="3"/>
  <c r="DF93" i="3"/>
  <c r="DJ93" i="3" s="1"/>
  <c r="DI93" i="3"/>
  <c r="DH45" i="3"/>
  <c r="DI45" i="3"/>
  <c r="DF45" i="3"/>
  <c r="DG45" i="3"/>
  <c r="DJ45" i="3" s="1"/>
  <c r="DH150" i="3"/>
  <c r="DI150" i="3"/>
  <c r="DF150" i="3"/>
  <c r="DJ150" i="3" s="1"/>
  <c r="DG150" i="3"/>
  <c r="DH154" i="3"/>
  <c r="DI154" i="3"/>
  <c r="DG154" i="3"/>
  <c r="DF154" i="3"/>
  <c r="DJ154" i="3" s="1"/>
  <c r="DI191" i="3"/>
  <c r="DG191" i="3"/>
  <c r="DH191" i="3"/>
  <c r="DF191" i="3"/>
  <c r="DJ191" i="3" s="1"/>
  <c r="DH212" i="3"/>
  <c r="DI212" i="3"/>
  <c r="DF212" i="3"/>
  <c r="DJ212" i="3" s="1"/>
  <c r="DG212" i="3"/>
  <c r="DG251" i="3"/>
  <c r="DH251" i="3"/>
  <c r="DF251" i="3"/>
  <c r="DJ251" i="3" s="1"/>
  <c r="DI251" i="3"/>
  <c r="DH250" i="3"/>
  <c r="DI250" i="3"/>
  <c r="DF250" i="3"/>
  <c r="DJ250" i="3" s="1"/>
  <c r="DG250" i="3"/>
  <c r="DI332" i="3"/>
  <c r="DJ332" i="3" s="1"/>
  <c r="DF332" i="3"/>
  <c r="DG332" i="3"/>
  <c r="DH332" i="3"/>
  <c r="R55" i="1"/>
  <c r="GK55" i="1" s="1"/>
  <c r="S55" i="1"/>
  <c r="Q55" i="1"/>
  <c r="DF81" i="3"/>
  <c r="DJ81" i="3" s="1"/>
  <c r="DG81" i="3"/>
  <c r="DH81" i="3"/>
  <c r="DI81" i="3"/>
  <c r="DI34" i="3"/>
  <c r="DJ34" i="3" s="1"/>
  <c r="DF34" i="3"/>
  <c r="DH34" i="3"/>
  <c r="DG34" i="3"/>
  <c r="CJ63" i="1"/>
  <c r="CP48" i="1"/>
  <c r="O48" i="1" s="1"/>
  <c r="DI48" i="3"/>
  <c r="DF48" i="3"/>
  <c r="DJ48" i="3" s="1"/>
  <c r="DG48" i="3"/>
  <c r="DH48" i="3"/>
  <c r="DF55" i="3"/>
  <c r="DJ55" i="3" s="1"/>
  <c r="DG55" i="3"/>
  <c r="DH55" i="3"/>
  <c r="DI55" i="3"/>
  <c r="DG62" i="3"/>
  <c r="DH62" i="3"/>
  <c r="DI62" i="3"/>
  <c r="DF62" i="3"/>
  <c r="DJ62" i="3" s="1"/>
  <c r="DG46" i="3"/>
  <c r="DH46" i="3"/>
  <c r="DI46" i="3"/>
  <c r="DF46" i="3"/>
  <c r="DJ46" i="3" s="1"/>
  <c r="P55" i="1"/>
  <c r="DF265" i="3"/>
  <c r="DG265" i="3"/>
  <c r="DH265" i="3"/>
  <c r="DI265" i="3"/>
  <c r="DJ265" i="3" s="1"/>
  <c r="DF318" i="3"/>
  <c r="DJ318" i="3" s="1"/>
  <c r="DG318" i="3"/>
  <c r="DH318" i="3"/>
  <c r="DI318" i="3"/>
  <c r="DI330" i="3"/>
  <c r="DF330" i="3"/>
  <c r="DJ330" i="3" s="1"/>
  <c r="DG330" i="3"/>
  <c r="DH330" i="3"/>
  <c r="CY32" i="1"/>
  <c r="X32" i="1" s="1"/>
  <c r="CZ32" i="1"/>
  <c r="Y32" i="1" s="1"/>
  <c r="DI12" i="3"/>
  <c r="DF12" i="3"/>
  <c r="DG12" i="3"/>
  <c r="DJ12" i="3" s="1"/>
  <c r="DH12" i="3"/>
  <c r="S44" i="1"/>
  <c r="AF63" i="1" s="1"/>
  <c r="P44" i="1"/>
  <c r="CP44" i="1" s="1"/>
  <c r="O44" i="1" s="1"/>
  <c r="Q44" i="1"/>
  <c r="R44" i="1"/>
  <c r="GK44" i="1" s="1"/>
  <c r="CY47" i="1"/>
  <c r="X47" i="1" s="1"/>
  <c r="CZ47" i="1"/>
  <c r="Y47" i="1" s="1"/>
  <c r="S57" i="1"/>
  <c r="P57" i="1"/>
  <c r="Q57" i="1"/>
  <c r="R57" i="1"/>
  <c r="GK57" i="1" s="1"/>
  <c r="GK98" i="1"/>
  <c r="GM98" i="1" s="1"/>
  <c r="DI78" i="3"/>
  <c r="DJ78" i="3" s="1"/>
  <c r="DF78" i="3"/>
  <c r="DG78" i="3"/>
  <c r="DH78" i="3"/>
  <c r="DF94" i="3"/>
  <c r="DJ94" i="3" s="1"/>
  <c r="DG94" i="3"/>
  <c r="DH94" i="3"/>
  <c r="DI94" i="3"/>
  <c r="DI95" i="3"/>
  <c r="DF95" i="3"/>
  <c r="DJ95" i="3" s="1"/>
  <c r="DH95" i="3"/>
  <c r="DG95" i="3"/>
  <c r="DI83" i="3"/>
  <c r="DF83" i="3"/>
  <c r="DH83" i="3"/>
  <c r="DG83" i="3"/>
  <c r="DJ83" i="3" s="1"/>
  <c r="DG97" i="3"/>
  <c r="DH97" i="3"/>
  <c r="DF97" i="3"/>
  <c r="DJ97" i="3" s="1"/>
  <c r="DI97" i="3"/>
  <c r="DF116" i="3"/>
  <c r="DG116" i="3"/>
  <c r="DJ116" i="3" s="1"/>
  <c r="DH116" i="3"/>
  <c r="DI116" i="3"/>
  <c r="DG119" i="3"/>
  <c r="DH119" i="3"/>
  <c r="DF119" i="3"/>
  <c r="DJ119" i="3" s="1"/>
  <c r="DI119" i="3"/>
  <c r="R125" i="1"/>
  <c r="GK125" i="1" s="1"/>
  <c r="S125" i="1"/>
  <c r="Q125" i="1"/>
  <c r="CP125" i="1" s="1"/>
  <c r="O125" i="1" s="1"/>
  <c r="U57" i="1"/>
  <c r="U60" i="1"/>
  <c r="DI126" i="3"/>
  <c r="DF126" i="3"/>
  <c r="DJ126" i="3" s="1"/>
  <c r="DG126" i="3"/>
  <c r="DH126" i="3"/>
  <c r="W55" i="1"/>
  <c r="CP99" i="1"/>
  <c r="O99" i="1" s="1"/>
  <c r="AC158" i="1"/>
  <c r="DH107" i="3"/>
  <c r="DF107" i="3"/>
  <c r="DJ107" i="3" s="1"/>
  <c r="DG107" i="3"/>
  <c r="DI107" i="3"/>
  <c r="DI149" i="3"/>
  <c r="DF149" i="3"/>
  <c r="DJ149" i="3" s="1"/>
  <c r="DG149" i="3"/>
  <c r="DH149" i="3"/>
  <c r="DI137" i="3"/>
  <c r="DF137" i="3"/>
  <c r="DG137" i="3"/>
  <c r="DJ137" i="3" s="1"/>
  <c r="DH137" i="3"/>
  <c r="DF156" i="3"/>
  <c r="DJ156" i="3" s="1"/>
  <c r="DG156" i="3"/>
  <c r="DI156" i="3"/>
  <c r="DH156" i="3"/>
  <c r="S141" i="1"/>
  <c r="T141" i="1"/>
  <c r="P141" i="1"/>
  <c r="Q141" i="1"/>
  <c r="V44" i="1"/>
  <c r="AI63" i="1" s="1"/>
  <c r="DG134" i="3"/>
  <c r="DH134" i="3"/>
  <c r="DF134" i="3"/>
  <c r="DJ134" i="3" s="1"/>
  <c r="DI134" i="3"/>
  <c r="DI160" i="3"/>
  <c r="DF160" i="3"/>
  <c r="DG160" i="3"/>
  <c r="DJ160" i="3" s="1"/>
  <c r="DH160" i="3"/>
  <c r="U123" i="1"/>
  <c r="DF168" i="3"/>
  <c r="DJ168" i="3" s="1"/>
  <c r="DG168" i="3"/>
  <c r="DH168" i="3"/>
  <c r="DI168" i="3"/>
  <c r="DI169" i="3"/>
  <c r="DF169" i="3"/>
  <c r="DJ169" i="3" s="1"/>
  <c r="DH169" i="3"/>
  <c r="DG169" i="3"/>
  <c r="DI175" i="3"/>
  <c r="DJ175" i="3" s="1"/>
  <c r="DF175" i="3"/>
  <c r="DG175" i="3"/>
  <c r="DH175" i="3"/>
  <c r="DH178" i="3"/>
  <c r="DI178" i="3"/>
  <c r="DF178" i="3"/>
  <c r="DJ178" i="3" s="1"/>
  <c r="DG178" i="3"/>
  <c r="BC95" i="1"/>
  <c r="F174" i="1"/>
  <c r="CP201" i="1"/>
  <c r="O201" i="1" s="1"/>
  <c r="GM201" i="1" s="1"/>
  <c r="GN201" i="1" s="1"/>
  <c r="W118" i="1"/>
  <c r="AJ158" i="1" s="1"/>
  <c r="U125" i="1"/>
  <c r="V146" i="1"/>
  <c r="AI158" i="1" s="1"/>
  <c r="DF190" i="3"/>
  <c r="DH190" i="3"/>
  <c r="DI190" i="3"/>
  <c r="DJ190" i="3" s="1"/>
  <c r="DG190" i="3"/>
  <c r="DF198" i="3"/>
  <c r="DJ198" i="3" s="1"/>
  <c r="DG198" i="3"/>
  <c r="DH198" i="3"/>
  <c r="DI198" i="3"/>
  <c r="CP124" i="1"/>
  <c r="O124" i="1" s="1"/>
  <c r="GM124" i="1" s="1"/>
  <c r="GN124" i="1" s="1"/>
  <c r="DH192" i="3"/>
  <c r="DI192" i="3"/>
  <c r="DJ192" i="3" s="1"/>
  <c r="DF192" i="3"/>
  <c r="DG192" i="3"/>
  <c r="DI209" i="3"/>
  <c r="DF209" i="3"/>
  <c r="DG209" i="3"/>
  <c r="DJ209" i="3" s="1"/>
  <c r="DH209" i="3"/>
  <c r="T116" i="1"/>
  <c r="AG158" i="1" s="1"/>
  <c r="U118" i="1"/>
  <c r="W125" i="1"/>
  <c r="GM133" i="1"/>
  <c r="GN133" i="1" s="1"/>
  <c r="AP95" i="1"/>
  <c r="F167" i="1"/>
  <c r="DG206" i="3"/>
  <c r="DH206" i="3"/>
  <c r="DF206" i="3"/>
  <c r="DJ206" i="3" s="1"/>
  <c r="DI206" i="3"/>
  <c r="DG235" i="3"/>
  <c r="DJ235" i="3" s="1"/>
  <c r="DH235" i="3"/>
  <c r="DI235" i="3"/>
  <c r="DF235" i="3"/>
  <c r="U141" i="1"/>
  <c r="GM204" i="1"/>
  <c r="GN204" i="1" s="1"/>
  <c r="CY210" i="1"/>
  <c r="X210" i="1" s="1"/>
  <c r="CZ210" i="1"/>
  <c r="Y210" i="1" s="1"/>
  <c r="GM210" i="1" s="1"/>
  <c r="GN210" i="1" s="1"/>
  <c r="DI217" i="3"/>
  <c r="DJ217" i="3" s="1"/>
  <c r="DF217" i="3"/>
  <c r="DG217" i="3"/>
  <c r="DH217" i="3"/>
  <c r="DG231" i="3"/>
  <c r="DH231" i="3"/>
  <c r="DI231" i="3"/>
  <c r="DF231" i="3"/>
  <c r="DJ231" i="3" s="1"/>
  <c r="V216" i="1"/>
  <c r="DF252" i="3"/>
  <c r="DJ252" i="3" s="1"/>
  <c r="DG252" i="3"/>
  <c r="DH252" i="3"/>
  <c r="DI252" i="3"/>
  <c r="DH246" i="3"/>
  <c r="DF246" i="3"/>
  <c r="DG246" i="3"/>
  <c r="DJ246" i="3" s="1"/>
  <c r="DI246" i="3"/>
  <c r="R226" i="1"/>
  <c r="GK226" i="1" s="1"/>
  <c r="S226" i="1"/>
  <c r="Q226" i="1"/>
  <c r="DF289" i="3"/>
  <c r="DJ289" i="3" s="1"/>
  <c r="DG289" i="3"/>
  <c r="DH289" i="3"/>
  <c r="DI289" i="3"/>
  <c r="DF293" i="3"/>
  <c r="DJ293" i="3" s="1"/>
  <c r="DG293" i="3"/>
  <c r="DI293" i="3"/>
  <c r="DH293" i="3"/>
  <c r="DG304" i="3"/>
  <c r="DH304" i="3"/>
  <c r="DI304" i="3"/>
  <c r="DF304" i="3"/>
  <c r="DJ304" i="3" s="1"/>
  <c r="DF329" i="3"/>
  <c r="DG329" i="3"/>
  <c r="DH329" i="3"/>
  <c r="DI329" i="3"/>
  <c r="DJ329" i="3" s="1"/>
  <c r="F368" i="1"/>
  <c r="AO358" i="1"/>
  <c r="CY208" i="1"/>
  <c r="X208" i="1" s="1"/>
  <c r="CZ208" i="1"/>
  <c r="Y208" i="1" s="1"/>
  <c r="DI257" i="3"/>
  <c r="DF257" i="3"/>
  <c r="DJ257" i="3" s="1"/>
  <c r="DG257" i="3"/>
  <c r="DH257" i="3"/>
  <c r="AU190" i="1"/>
  <c r="F251" i="1"/>
  <c r="DF312" i="3"/>
  <c r="DG312" i="3"/>
  <c r="DH312" i="3"/>
  <c r="DI312" i="3"/>
  <c r="DJ312" i="3" s="1"/>
  <c r="W153" i="1"/>
  <c r="GM200" i="1"/>
  <c r="GN200" i="1" s="1"/>
  <c r="T202" i="1"/>
  <c r="AG232" i="1" s="1"/>
  <c r="CY205" i="1"/>
  <c r="X205" i="1" s="1"/>
  <c r="CZ205" i="1"/>
  <c r="Y205" i="1" s="1"/>
  <c r="CY215" i="1"/>
  <c r="X215" i="1" s="1"/>
  <c r="GM215" i="1" s="1"/>
  <c r="GN215" i="1" s="1"/>
  <c r="CZ215" i="1"/>
  <c r="Y215" i="1" s="1"/>
  <c r="CP266" i="1"/>
  <c r="O266" i="1" s="1"/>
  <c r="AC277" i="1"/>
  <c r="AX277" i="1"/>
  <c r="CG264" i="1"/>
  <c r="DG321" i="3"/>
  <c r="DH321" i="3"/>
  <c r="DI321" i="3"/>
  <c r="DF321" i="3"/>
  <c r="DJ321" i="3" s="1"/>
  <c r="DH320" i="3"/>
  <c r="DI320" i="3"/>
  <c r="DF320" i="3"/>
  <c r="DJ320" i="3" s="1"/>
  <c r="DG320" i="3"/>
  <c r="P318" i="1"/>
  <c r="AC326" i="1" s="1"/>
  <c r="Q318" i="1"/>
  <c r="AD326" i="1" s="1"/>
  <c r="S318" i="1"/>
  <c r="P323" i="1"/>
  <c r="CP323" i="1" s="1"/>
  <c r="O323" i="1" s="1"/>
  <c r="Q323" i="1"/>
  <c r="S323" i="1"/>
  <c r="F380" i="1"/>
  <c r="BC358" i="1"/>
  <c r="T151" i="1"/>
  <c r="U153" i="1"/>
  <c r="GM156" i="1"/>
  <c r="GN156" i="1" s="1"/>
  <c r="CY212" i="1"/>
  <c r="X212" i="1" s="1"/>
  <c r="CZ212" i="1"/>
  <c r="Y212" i="1" s="1"/>
  <c r="S213" i="1"/>
  <c r="GX216" i="1"/>
  <c r="R218" i="1"/>
  <c r="GK218" i="1" s="1"/>
  <c r="DF267" i="3"/>
  <c r="DG267" i="3"/>
  <c r="DJ267" i="3" s="1"/>
  <c r="DH267" i="3"/>
  <c r="DI267" i="3"/>
  <c r="AO190" i="1"/>
  <c r="F236" i="1"/>
  <c r="DI274" i="3"/>
  <c r="DF274" i="3"/>
  <c r="DH274" i="3"/>
  <c r="DG274" i="3"/>
  <c r="DJ274" i="3" s="1"/>
  <c r="DH325" i="3"/>
  <c r="DI325" i="3"/>
  <c r="DF325" i="3"/>
  <c r="DG325" i="3"/>
  <c r="DJ325" i="3" s="1"/>
  <c r="DG333" i="3"/>
  <c r="DJ333" i="3" s="1"/>
  <c r="DH333" i="3"/>
  <c r="DI333" i="3"/>
  <c r="DF333" i="3"/>
  <c r="R364" i="1"/>
  <c r="AE358" i="1"/>
  <c r="GX226" i="1"/>
  <c r="GX323" i="1"/>
  <c r="V226" i="1"/>
  <c r="AU264" i="1"/>
  <c r="F296" i="1"/>
  <c r="U230" i="1"/>
  <c r="V274" i="1"/>
  <c r="AD358" i="1"/>
  <c r="Q364" i="1"/>
  <c r="U318" i="1"/>
  <c r="AH326" i="1" s="1"/>
  <c r="W230" i="1"/>
  <c r="AQ264" i="1"/>
  <c r="F287" i="1"/>
  <c r="U323" i="1"/>
  <c r="AB358" i="1"/>
  <c r="O364" i="1"/>
  <c r="Q326" i="1" l="1"/>
  <c r="AD309" i="1"/>
  <c r="AF26" i="1"/>
  <c r="S63" i="1"/>
  <c r="P326" i="1"/>
  <c r="CE326" i="1"/>
  <c r="AC309" i="1"/>
  <c r="CF326" i="1"/>
  <c r="CH326" i="1"/>
  <c r="AI26" i="1"/>
  <c r="V63" i="1"/>
  <c r="AD190" i="1"/>
  <c r="Q232" i="1"/>
  <c r="AJ95" i="1"/>
  <c r="W158" i="1"/>
  <c r="AF95" i="1"/>
  <c r="S158" i="1"/>
  <c r="AI95" i="1"/>
  <c r="V158" i="1"/>
  <c r="AJ264" i="1"/>
  <c r="W277" i="1"/>
  <c r="AC26" i="1"/>
  <c r="P63" i="1"/>
  <c r="CE63" i="1"/>
  <c r="CF63" i="1"/>
  <c r="CH63" i="1"/>
  <c r="AD26" i="1"/>
  <c r="Q63" i="1"/>
  <c r="GN193" i="1"/>
  <c r="AJ26" i="1"/>
  <c r="W63" i="1"/>
  <c r="AD95" i="1"/>
  <c r="Q158" i="1"/>
  <c r="AG95" i="1"/>
  <c r="T158" i="1"/>
  <c r="T277" i="1"/>
  <c r="AG264" i="1"/>
  <c r="CY318" i="1"/>
  <c r="X318" i="1" s="1"/>
  <c r="CZ318" i="1"/>
  <c r="Y318" i="1" s="1"/>
  <c r="AF326" i="1"/>
  <c r="AC95" i="1"/>
  <c r="CH158" i="1"/>
  <c r="P158" i="1"/>
  <c r="CE158" i="1"/>
  <c r="CF158" i="1"/>
  <c r="CP55" i="1"/>
  <c r="O55" i="1" s="1"/>
  <c r="Q358" i="1"/>
  <c r="F376" i="1"/>
  <c r="CY213" i="1"/>
  <c r="X213" i="1" s="1"/>
  <c r="CZ213" i="1"/>
  <c r="Y213" i="1" s="1"/>
  <c r="CY323" i="1"/>
  <c r="X323" i="1" s="1"/>
  <c r="CZ323" i="1"/>
  <c r="Y323" i="1" s="1"/>
  <c r="P277" i="1"/>
  <c r="CE277" i="1"/>
  <c r="CF277" i="1"/>
  <c r="AC264" i="1"/>
  <c r="CH277" i="1"/>
  <c r="CY226" i="1"/>
  <c r="X226" i="1" s="1"/>
  <c r="CZ226" i="1"/>
  <c r="Y226" i="1" s="1"/>
  <c r="CP141" i="1"/>
  <c r="O141" i="1" s="1"/>
  <c r="GM99" i="1"/>
  <c r="GN99" i="1" s="1"/>
  <c r="AE158" i="1"/>
  <c r="CP57" i="1"/>
  <c r="O57" i="1" s="1"/>
  <c r="V358" i="1"/>
  <c r="F387" i="1"/>
  <c r="CP223" i="1"/>
  <c r="O223" i="1" s="1"/>
  <c r="CF358" i="1"/>
  <c r="AW364" i="1"/>
  <c r="AO22" i="1"/>
  <c r="F398" i="1"/>
  <c r="AO427" i="1"/>
  <c r="AZ26" i="1"/>
  <c r="F74" i="1"/>
  <c r="AZ394" i="1"/>
  <c r="T326" i="1"/>
  <c r="AG309" i="1"/>
  <c r="AX358" i="1"/>
  <c r="F371" i="1"/>
  <c r="CY274" i="1"/>
  <c r="X274" i="1" s="1"/>
  <c r="CZ274" i="1"/>
  <c r="Y274" i="1" s="1"/>
  <c r="GM205" i="1"/>
  <c r="GN205" i="1" s="1"/>
  <c r="AX95" i="1"/>
  <c r="F165" i="1"/>
  <c r="CY130" i="1"/>
  <c r="X130" i="1" s="1"/>
  <c r="CZ130" i="1"/>
  <c r="Y130" i="1" s="1"/>
  <c r="GM59" i="1"/>
  <c r="GN59" i="1" s="1"/>
  <c r="AI326" i="1"/>
  <c r="CY272" i="1"/>
  <c r="X272" i="1" s="1"/>
  <c r="CZ272" i="1"/>
  <c r="Y272" i="1" s="1"/>
  <c r="AE326" i="1"/>
  <c r="AI232" i="1"/>
  <c r="CP218" i="1"/>
  <c r="O218" i="1" s="1"/>
  <c r="GM138" i="1"/>
  <c r="GN138" i="1" s="1"/>
  <c r="CP127" i="1"/>
  <c r="O127" i="1" s="1"/>
  <c r="CP120" i="1"/>
  <c r="O120" i="1" s="1"/>
  <c r="CP106" i="1"/>
  <c r="O106" i="1" s="1"/>
  <c r="GM61" i="1"/>
  <c r="GN61" i="1" s="1"/>
  <c r="GM49" i="1"/>
  <c r="GN49" i="1" s="1"/>
  <c r="AT22" i="1"/>
  <c r="AT427" i="1"/>
  <c r="F412" i="1"/>
  <c r="F16" i="2" s="1"/>
  <c r="F18" i="2" s="1"/>
  <c r="AP22" i="1"/>
  <c r="F403" i="1"/>
  <c r="G16" i="2" s="1"/>
  <c r="G18" i="2" s="1"/>
  <c r="AP427" i="1"/>
  <c r="F299" i="1"/>
  <c r="U264" i="1"/>
  <c r="X358" i="1"/>
  <c r="F390" i="1"/>
  <c r="R358" i="1"/>
  <c r="F378" i="1"/>
  <c r="AG190" i="1"/>
  <c r="T232" i="1"/>
  <c r="O358" i="1"/>
  <c r="F366" i="1"/>
  <c r="CP318" i="1"/>
  <c r="O318" i="1" s="1"/>
  <c r="GM318" i="1" s="1"/>
  <c r="GN318" i="1" s="1"/>
  <c r="GM266" i="1"/>
  <c r="CY125" i="1"/>
  <c r="X125" i="1" s="1"/>
  <c r="GM125" i="1" s="1"/>
  <c r="GN125" i="1" s="1"/>
  <c r="CZ125" i="1"/>
  <c r="Y125" i="1" s="1"/>
  <c r="GN98" i="1"/>
  <c r="CY57" i="1"/>
  <c r="X57" i="1" s="1"/>
  <c r="CZ57" i="1"/>
  <c r="Y57" i="1" s="1"/>
  <c r="CJ26" i="1"/>
  <c r="BA63" i="1"/>
  <c r="AG26" i="1"/>
  <c r="T63" i="1"/>
  <c r="CA358" i="1"/>
  <c r="AR364" i="1"/>
  <c r="AZ358" i="1"/>
  <c r="F375" i="1"/>
  <c r="AD264" i="1"/>
  <c r="Q277" i="1"/>
  <c r="CY223" i="1"/>
  <c r="X223" i="1" s="1"/>
  <c r="CZ223" i="1"/>
  <c r="Y223" i="1" s="1"/>
  <c r="CH358" i="1"/>
  <c r="AY364" i="1"/>
  <c r="GM311" i="1"/>
  <c r="GM32" i="1"/>
  <c r="GN32" i="1" s="1"/>
  <c r="CP321" i="1"/>
  <c r="O321" i="1" s="1"/>
  <c r="AB326" i="1" s="1"/>
  <c r="CP268" i="1"/>
  <c r="O268" i="1" s="1"/>
  <c r="CP228" i="1"/>
  <c r="O228" i="1" s="1"/>
  <c r="GM212" i="1"/>
  <c r="GN212" i="1" s="1"/>
  <c r="CY230" i="1"/>
  <c r="X230" i="1" s="1"/>
  <c r="CZ230" i="1"/>
  <c r="Y230" i="1" s="1"/>
  <c r="CJ232" i="1"/>
  <c r="CY218" i="1"/>
  <c r="X218" i="1" s="1"/>
  <c r="CZ218" i="1"/>
  <c r="Y218" i="1" s="1"/>
  <c r="CJ95" i="1"/>
  <c r="BA158" i="1"/>
  <c r="CP130" i="1"/>
  <c r="O130" i="1" s="1"/>
  <c r="GM130" i="1" s="1"/>
  <c r="GN130" i="1" s="1"/>
  <c r="CY116" i="1"/>
  <c r="X116" i="1" s="1"/>
  <c r="CZ116" i="1"/>
  <c r="Y116" i="1" s="1"/>
  <c r="CY35" i="1"/>
  <c r="X35" i="1" s="1"/>
  <c r="AK63" i="1" s="1"/>
  <c r="CZ35" i="1"/>
  <c r="Y35" i="1" s="1"/>
  <c r="AL63" i="1" s="1"/>
  <c r="BB22" i="1"/>
  <c r="F407" i="1"/>
  <c r="BB427" i="1"/>
  <c r="F388" i="1"/>
  <c r="W358" i="1"/>
  <c r="F379" i="1"/>
  <c r="S358" i="1"/>
  <c r="GM217" i="1"/>
  <c r="GN217" i="1" s="1"/>
  <c r="CP226" i="1"/>
  <c r="O226" i="1" s="1"/>
  <c r="GM226" i="1" s="1"/>
  <c r="GN226" i="1" s="1"/>
  <c r="AJ232" i="1"/>
  <c r="CY127" i="1"/>
  <c r="X127" i="1" s="1"/>
  <c r="CZ127" i="1"/>
  <c r="Y127" i="1" s="1"/>
  <c r="CY120" i="1"/>
  <c r="X120" i="1" s="1"/>
  <c r="CZ120" i="1"/>
  <c r="Y120" i="1" s="1"/>
  <c r="CY106" i="1"/>
  <c r="X106" i="1" s="1"/>
  <c r="CZ106" i="1"/>
  <c r="Y106" i="1" s="1"/>
  <c r="CP118" i="1"/>
  <c r="O118" i="1" s="1"/>
  <c r="GM115" i="1"/>
  <c r="GN115" i="1" s="1"/>
  <c r="AE63" i="1"/>
  <c r="U26" i="1"/>
  <c r="F85" i="1"/>
  <c r="CY141" i="1"/>
  <c r="X141" i="1" s="1"/>
  <c r="CZ141" i="1"/>
  <c r="Y141" i="1" s="1"/>
  <c r="CB358" i="1"/>
  <c r="AS364" i="1"/>
  <c r="AZ309" i="1"/>
  <c r="F337" i="1"/>
  <c r="CE358" i="1"/>
  <c r="AV364" i="1"/>
  <c r="AX190" i="1"/>
  <c r="F239" i="1"/>
  <c r="CZ216" i="1"/>
  <c r="Y216" i="1" s="1"/>
  <c r="CY216" i="1"/>
  <c r="X216" i="1" s="1"/>
  <c r="CY118" i="1"/>
  <c r="X118" i="1" s="1"/>
  <c r="CZ118" i="1"/>
  <c r="Y118" i="1" s="1"/>
  <c r="CJ326" i="1"/>
  <c r="CY321" i="1"/>
  <c r="X321" i="1" s="1"/>
  <c r="CZ321" i="1"/>
  <c r="Y321" i="1" s="1"/>
  <c r="CY268" i="1"/>
  <c r="X268" i="1" s="1"/>
  <c r="AK277" i="1" s="1"/>
  <c r="CZ268" i="1"/>
  <c r="Y268" i="1" s="1"/>
  <c r="AL277" i="1" s="1"/>
  <c r="AF277" i="1"/>
  <c r="CY228" i="1"/>
  <c r="X228" i="1" s="1"/>
  <c r="CZ228" i="1"/>
  <c r="Y228" i="1" s="1"/>
  <c r="GM155" i="1"/>
  <c r="GN155" i="1" s="1"/>
  <c r="GM274" i="1"/>
  <c r="GN274" i="1" s="1"/>
  <c r="AC232" i="1"/>
  <c r="AQ22" i="1"/>
  <c r="F404" i="1"/>
  <c r="AQ427" i="1"/>
  <c r="CY153" i="1"/>
  <c r="X153" i="1" s="1"/>
  <c r="GM153" i="1" s="1"/>
  <c r="GN153" i="1" s="1"/>
  <c r="CZ153" i="1"/>
  <c r="Y153" i="1" s="1"/>
  <c r="BC22" i="1"/>
  <c r="F410" i="1"/>
  <c r="BC427" i="1"/>
  <c r="CZ37" i="1"/>
  <c r="Y37" i="1" s="1"/>
  <c r="CY37" i="1"/>
  <c r="X37" i="1" s="1"/>
  <c r="CP60" i="1"/>
  <c r="O60" i="1" s="1"/>
  <c r="CY48" i="1"/>
  <c r="X48" i="1" s="1"/>
  <c r="GM48" i="1" s="1"/>
  <c r="GN48" i="1" s="1"/>
  <c r="CZ48" i="1"/>
  <c r="Y48" i="1" s="1"/>
  <c r="T358" i="1"/>
  <c r="F385" i="1"/>
  <c r="AI277" i="1"/>
  <c r="GM214" i="1"/>
  <c r="GN214" i="1" s="1"/>
  <c r="GM208" i="1"/>
  <c r="GN208" i="1" s="1"/>
  <c r="CP213" i="1"/>
  <c r="O213" i="1" s="1"/>
  <c r="GM213" i="1" s="1"/>
  <c r="GN213" i="1" s="1"/>
  <c r="CY202" i="1"/>
  <c r="X202" i="1" s="1"/>
  <c r="AK232" i="1" s="1"/>
  <c r="CZ202" i="1"/>
  <c r="Y202" i="1" s="1"/>
  <c r="AL232" i="1" s="1"/>
  <c r="AF232" i="1"/>
  <c r="CY151" i="1"/>
  <c r="X151" i="1" s="1"/>
  <c r="CZ151" i="1"/>
  <c r="Y151" i="1" s="1"/>
  <c r="GM151" i="1" s="1"/>
  <c r="GN151" i="1" s="1"/>
  <c r="CP116" i="1"/>
  <c r="O116" i="1" s="1"/>
  <c r="GM116" i="1" s="1"/>
  <c r="GN116" i="1" s="1"/>
  <c r="GN29" i="1"/>
  <c r="Y358" i="1"/>
  <c r="F391" i="1"/>
  <c r="GM323" i="1"/>
  <c r="GN323" i="1" s="1"/>
  <c r="U326" i="1"/>
  <c r="AH309" i="1"/>
  <c r="AX264" i="1"/>
  <c r="F284" i="1"/>
  <c r="CY44" i="1"/>
  <c r="X44" i="1" s="1"/>
  <c r="GM44" i="1" s="1"/>
  <c r="GN44" i="1" s="1"/>
  <c r="CZ44" i="1"/>
  <c r="Y44" i="1" s="1"/>
  <c r="CY55" i="1"/>
  <c r="X55" i="1" s="1"/>
  <c r="CZ55" i="1"/>
  <c r="Y55" i="1" s="1"/>
  <c r="CY60" i="1"/>
  <c r="X60" i="1" s="1"/>
  <c r="CZ60" i="1"/>
  <c r="Y60" i="1" s="1"/>
  <c r="P358" i="1"/>
  <c r="F367" i="1"/>
  <c r="CP216" i="1"/>
  <c r="O216" i="1" s="1"/>
  <c r="GM216" i="1" s="1"/>
  <c r="GN216" i="1" s="1"/>
  <c r="AE232" i="1"/>
  <c r="CY146" i="1"/>
  <c r="X146" i="1" s="1"/>
  <c r="GM146" i="1" s="1"/>
  <c r="GN146" i="1" s="1"/>
  <c r="CZ146" i="1"/>
  <c r="Y146" i="1" s="1"/>
  <c r="CY123" i="1"/>
  <c r="X123" i="1" s="1"/>
  <c r="GM123" i="1" s="1"/>
  <c r="GN123" i="1" s="1"/>
  <c r="CZ123" i="1"/>
  <c r="Y123" i="1" s="1"/>
  <c r="CD358" i="1"/>
  <c r="AU364" i="1"/>
  <c r="BA277" i="1"/>
  <c r="CJ264" i="1"/>
  <c r="AZ264" i="1"/>
  <c r="F288" i="1"/>
  <c r="GK268" i="1"/>
  <c r="AE277" i="1"/>
  <c r="AZ190" i="1"/>
  <c r="F243" i="1"/>
  <c r="CP230" i="1"/>
  <c r="O230" i="1" s="1"/>
  <c r="GM230" i="1" s="1"/>
  <c r="GN230" i="1" s="1"/>
  <c r="GM136" i="1"/>
  <c r="GN136" i="1" s="1"/>
  <c r="AH158" i="1"/>
  <c r="AX26" i="1"/>
  <c r="F70" i="1"/>
  <c r="AX394" i="1"/>
  <c r="GM122" i="1"/>
  <c r="GN122" i="1" s="1"/>
  <c r="CP37" i="1"/>
  <c r="O37" i="1" s="1"/>
  <c r="GM37" i="1" s="1"/>
  <c r="GN37" i="1" s="1"/>
  <c r="BD22" i="1"/>
  <c r="F419" i="1"/>
  <c r="BD427" i="1"/>
  <c r="F384" i="1"/>
  <c r="BA358" i="1"/>
  <c r="F386" i="1"/>
  <c r="U358" i="1"/>
  <c r="CP272" i="1"/>
  <c r="O272" i="1" s="1"/>
  <c r="GM272" i="1" s="1"/>
  <c r="GN272" i="1" s="1"/>
  <c r="AH232" i="1"/>
  <c r="AX309" i="1"/>
  <c r="F333" i="1"/>
  <c r="CY145" i="1"/>
  <c r="X145" i="1" s="1"/>
  <c r="CZ145" i="1"/>
  <c r="Y145" i="1" s="1"/>
  <c r="CP145" i="1"/>
  <c r="O145" i="1" s="1"/>
  <c r="GM47" i="1"/>
  <c r="GN47" i="1" s="1"/>
  <c r="CP35" i="1"/>
  <c r="O35" i="1" s="1"/>
  <c r="GM35" i="1" s="1"/>
  <c r="GN35" i="1" s="1"/>
  <c r="AJ309" i="1"/>
  <c r="W326" i="1"/>
  <c r="AB309" i="1" l="1"/>
  <c r="O326" i="1"/>
  <c r="AL26" i="1"/>
  <c r="Y63" i="1"/>
  <c r="AK26" i="1"/>
  <c r="X63" i="1"/>
  <c r="F348" i="1"/>
  <c r="U309" i="1"/>
  <c r="CA63" i="1"/>
  <c r="AK190" i="1"/>
  <c r="X232" i="1"/>
  <c r="AI264" i="1"/>
  <c r="V277" i="1"/>
  <c r="BC18" i="1"/>
  <c r="F443" i="1"/>
  <c r="AL264" i="1"/>
  <c r="Y277" i="1"/>
  <c r="CJ309" i="1"/>
  <c r="BA326" i="1"/>
  <c r="AE26" i="1"/>
  <c r="R63" i="1"/>
  <c r="BB18" i="1"/>
  <c r="F440" i="1"/>
  <c r="BA95" i="1"/>
  <c r="F178" i="1"/>
  <c r="CJ190" i="1"/>
  <c r="BA232" i="1"/>
  <c r="GM228" i="1"/>
  <c r="GN228" i="1" s="1"/>
  <c r="T26" i="1"/>
  <c r="F84" i="1"/>
  <c r="T394" i="1"/>
  <c r="T190" i="1"/>
  <c r="F253" i="1"/>
  <c r="AP18" i="1"/>
  <c r="F436" i="1"/>
  <c r="AT18" i="1"/>
  <c r="F445" i="1"/>
  <c r="GM106" i="1"/>
  <c r="AB232" i="1"/>
  <c r="AE95" i="1"/>
  <c r="R158" i="1"/>
  <c r="AW277" i="1"/>
  <c r="CF264" i="1"/>
  <c r="P95" i="1"/>
  <c r="F161" i="1"/>
  <c r="AL326" i="1"/>
  <c r="T95" i="1"/>
  <c r="F179" i="1"/>
  <c r="W26" i="1"/>
  <c r="F87" i="1"/>
  <c r="Q26" i="1"/>
  <c r="F75" i="1"/>
  <c r="Q394" i="1"/>
  <c r="CE26" i="1"/>
  <c r="AV63" i="1"/>
  <c r="S95" i="1"/>
  <c r="F173" i="1"/>
  <c r="AB63" i="1"/>
  <c r="V26" i="1"/>
  <c r="F86" i="1"/>
  <c r="AH190" i="1"/>
  <c r="U232" i="1"/>
  <c r="AH95" i="1"/>
  <c r="U158" i="1"/>
  <c r="AU358" i="1"/>
  <c r="F383" i="1"/>
  <c r="AU394" i="1"/>
  <c r="CB63" i="1"/>
  <c r="GM60" i="1"/>
  <c r="GN60" i="1" s="1"/>
  <c r="AQ18" i="1"/>
  <c r="F437" i="1"/>
  <c r="AC190" i="1"/>
  <c r="CH232" i="1"/>
  <c r="P232" i="1"/>
  <c r="CE232" i="1"/>
  <c r="CF232" i="1"/>
  <c r="X277" i="1"/>
  <c r="AK264" i="1"/>
  <c r="F369" i="1"/>
  <c r="AV358" i="1"/>
  <c r="F381" i="1"/>
  <c r="AS358" i="1"/>
  <c r="AJ190" i="1"/>
  <c r="W232" i="1"/>
  <c r="W394" i="1" s="1"/>
  <c r="GM268" i="1"/>
  <c r="GN268" i="1" s="1"/>
  <c r="GN311" i="1"/>
  <c r="CB326" i="1" s="1"/>
  <c r="GM120" i="1"/>
  <c r="GN120" i="1" s="1"/>
  <c r="GM218" i="1"/>
  <c r="GN218" i="1" s="1"/>
  <c r="F370" i="1"/>
  <c r="AW358" i="1"/>
  <c r="AB158" i="1"/>
  <c r="AV277" i="1"/>
  <c r="CE264" i="1"/>
  <c r="GM55" i="1"/>
  <c r="GN55" i="1" s="1"/>
  <c r="CH95" i="1"/>
  <c r="AY158" i="1"/>
  <c r="AK326" i="1"/>
  <c r="P26" i="1"/>
  <c r="F66" i="1"/>
  <c r="P394" i="1"/>
  <c r="Q190" i="1"/>
  <c r="F244" i="1"/>
  <c r="AV326" i="1"/>
  <c r="CE309" i="1"/>
  <c r="BA264" i="1"/>
  <c r="F297" i="1"/>
  <c r="BD18" i="1"/>
  <c r="F452" i="1"/>
  <c r="W309" i="1"/>
  <c r="F350" i="1"/>
  <c r="GM145" i="1"/>
  <c r="GN145" i="1" s="1"/>
  <c r="AX22" i="1"/>
  <c r="AX427" i="1"/>
  <c r="F401" i="1"/>
  <c r="AK158" i="1"/>
  <c r="AF190" i="1"/>
  <c r="S232" i="1"/>
  <c r="GM202" i="1"/>
  <c r="GM118" i="1"/>
  <c r="GN118" i="1" s="1"/>
  <c r="GM321" i="1"/>
  <c r="GN321" i="1" s="1"/>
  <c r="F372" i="1"/>
  <c r="AY358" i="1"/>
  <c r="Q264" i="1"/>
  <c r="F289" i="1"/>
  <c r="AR358" i="1"/>
  <c r="F392" i="1"/>
  <c r="BA26" i="1"/>
  <c r="F83" i="1"/>
  <c r="BA394" i="1"/>
  <c r="GN266" i="1"/>
  <c r="CB277" i="1" s="1"/>
  <c r="CA277" i="1"/>
  <c r="GM127" i="1"/>
  <c r="GN127" i="1" s="1"/>
  <c r="AI190" i="1"/>
  <c r="V232" i="1"/>
  <c r="V326" i="1"/>
  <c r="V394" i="1" s="1"/>
  <c r="AI309" i="1"/>
  <c r="T309" i="1"/>
  <c r="F347" i="1"/>
  <c r="AO18" i="1"/>
  <c r="F431" i="1"/>
  <c r="CH264" i="1"/>
  <c r="AY277" i="1"/>
  <c r="P264" i="1"/>
  <c r="F280" i="1"/>
  <c r="CF95" i="1"/>
  <c r="AW158" i="1"/>
  <c r="Q95" i="1"/>
  <c r="F170" i="1"/>
  <c r="CH26" i="1"/>
  <c r="AY63" i="1"/>
  <c r="V95" i="1"/>
  <c r="F181" i="1"/>
  <c r="W95" i="1"/>
  <c r="F182" i="1"/>
  <c r="CH309" i="1"/>
  <c r="AY326" i="1"/>
  <c r="P309" i="1"/>
  <c r="F329" i="1"/>
  <c r="Q309" i="1"/>
  <c r="F338" i="1"/>
  <c r="AE264" i="1"/>
  <c r="R277" i="1"/>
  <c r="AE190" i="1"/>
  <c r="R232" i="1"/>
  <c r="AL190" i="1"/>
  <c r="Y232" i="1"/>
  <c r="AF264" i="1"/>
  <c r="S277" i="1"/>
  <c r="AL158" i="1"/>
  <c r="AB277" i="1"/>
  <c r="R326" i="1"/>
  <c r="AE309" i="1"/>
  <c r="AZ22" i="1"/>
  <c r="F405" i="1"/>
  <c r="AZ427" i="1"/>
  <c r="GM223" i="1"/>
  <c r="GN223" i="1" s="1"/>
  <c r="GM57" i="1"/>
  <c r="GN57" i="1" s="1"/>
  <c r="GM141" i="1"/>
  <c r="GN141" i="1" s="1"/>
  <c r="CE95" i="1"/>
  <c r="AV158" i="1"/>
  <c r="AF309" i="1"/>
  <c r="S326" i="1"/>
  <c r="F298" i="1"/>
  <c r="T264" i="1"/>
  <c r="CF26" i="1"/>
  <c r="AW63" i="1"/>
  <c r="W264" i="1"/>
  <c r="F301" i="1"/>
  <c r="CF309" i="1"/>
  <c r="AW326" i="1"/>
  <c r="S26" i="1"/>
  <c r="F78" i="1"/>
  <c r="S394" i="1"/>
  <c r="W22" i="1" l="1"/>
  <c r="F418" i="1"/>
  <c r="W427" i="1"/>
  <c r="V22" i="1"/>
  <c r="V427" i="1"/>
  <c r="F417" i="1"/>
  <c r="F341" i="1"/>
  <c r="S309" i="1"/>
  <c r="AB264" i="1"/>
  <c r="O277" i="1"/>
  <c r="AR277" i="1"/>
  <c r="CA264" i="1"/>
  <c r="AV309" i="1"/>
  <c r="F331" i="1"/>
  <c r="CF190" i="1"/>
  <c r="AW232" i="1"/>
  <c r="U95" i="1"/>
  <c r="F180" i="1"/>
  <c r="U394" i="1"/>
  <c r="Y326" i="1"/>
  <c r="AL309" i="1"/>
  <c r="F328" i="1"/>
  <c r="O309" i="1"/>
  <c r="AS277" i="1"/>
  <c r="CB264" i="1"/>
  <c r="GN202" i="1"/>
  <c r="CB232" i="1" s="1"/>
  <c r="CA232" i="1"/>
  <c r="AU22" i="1"/>
  <c r="F413" i="1"/>
  <c r="AU427" i="1"/>
  <c r="R95" i="1"/>
  <c r="F172" i="1"/>
  <c r="R26" i="1"/>
  <c r="F77" i="1"/>
  <c r="R394" i="1"/>
  <c r="F304" i="1"/>
  <c r="Y264" i="1"/>
  <c r="V264" i="1"/>
  <c r="F300" i="1"/>
  <c r="AV95" i="1"/>
  <c r="F163" i="1"/>
  <c r="AL95" i="1"/>
  <c r="Y158" i="1"/>
  <c r="BA22" i="1"/>
  <c r="BA427" i="1"/>
  <c r="F414" i="1"/>
  <c r="S190" i="1"/>
  <c r="F247" i="1"/>
  <c r="AX18" i="1"/>
  <c r="F434" i="1"/>
  <c r="X326" i="1"/>
  <c r="AK309" i="1"/>
  <c r="CA326" i="1"/>
  <c r="P190" i="1"/>
  <c r="F235" i="1"/>
  <c r="U190" i="1"/>
  <c r="F254" i="1"/>
  <c r="AV26" i="1"/>
  <c r="F68" i="1"/>
  <c r="Y26" i="1"/>
  <c r="F90" i="1"/>
  <c r="Y394" i="1"/>
  <c r="AK95" i="1"/>
  <c r="X158" i="1"/>
  <c r="CB26" i="1"/>
  <c r="AS63" i="1"/>
  <c r="Q22" i="1"/>
  <c r="Q427" i="1"/>
  <c r="F406" i="1"/>
  <c r="F283" i="1"/>
  <c r="AW264" i="1"/>
  <c r="X26" i="1"/>
  <c r="F89" i="1"/>
  <c r="X394" i="1"/>
  <c r="Y190" i="1"/>
  <c r="F259" i="1"/>
  <c r="R264" i="1"/>
  <c r="F291" i="1"/>
  <c r="AW95" i="1"/>
  <c r="F164" i="1"/>
  <c r="AY264" i="1"/>
  <c r="F285" i="1"/>
  <c r="V190" i="1"/>
  <c r="F255" i="1"/>
  <c r="CE190" i="1"/>
  <c r="AV232" i="1"/>
  <c r="AV394" i="1" s="1"/>
  <c r="AW309" i="1"/>
  <c r="F332" i="1"/>
  <c r="AW26" i="1"/>
  <c r="F69" i="1"/>
  <c r="AW394" i="1"/>
  <c r="AZ18" i="1"/>
  <c r="F438" i="1"/>
  <c r="F340" i="1"/>
  <c r="R309" i="1"/>
  <c r="S264" i="1"/>
  <c r="F292" i="1"/>
  <c r="R190" i="1"/>
  <c r="F246" i="1"/>
  <c r="AY309" i="1"/>
  <c r="F334" i="1"/>
  <c r="P22" i="1"/>
  <c r="F397" i="1"/>
  <c r="P427" i="1"/>
  <c r="AY95" i="1"/>
  <c r="F166" i="1"/>
  <c r="F282" i="1"/>
  <c r="AV264" i="1"/>
  <c r="F303" i="1"/>
  <c r="X264" i="1"/>
  <c r="CH190" i="1"/>
  <c r="AY232" i="1"/>
  <c r="AB26" i="1"/>
  <c r="O63" i="1"/>
  <c r="AB190" i="1"/>
  <c r="O232" i="1"/>
  <c r="T22" i="1"/>
  <c r="F415" i="1"/>
  <c r="T427" i="1"/>
  <c r="BA190" i="1"/>
  <c r="F252" i="1"/>
  <c r="BA309" i="1"/>
  <c r="F346" i="1"/>
  <c r="X190" i="1"/>
  <c r="F258" i="1"/>
  <c r="S22" i="1"/>
  <c r="S427" i="1"/>
  <c r="F409" i="1"/>
  <c r="W190" i="1"/>
  <c r="F256" i="1"/>
  <c r="V309" i="1"/>
  <c r="F349" i="1"/>
  <c r="AB95" i="1"/>
  <c r="O158" i="1"/>
  <c r="GN106" i="1"/>
  <c r="CB158" i="1" s="1"/>
  <c r="CA158" i="1"/>
  <c r="AY26" i="1"/>
  <c r="F71" i="1"/>
  <c r="AY394" i="1"/>
  <c r="CB309" i="1"/>
  <c r="AS326" i="1"/>
  <c r="CA26" i="1"/>
  <c r="AR63" i="1"/>
  <c r="AV22" i="1" l="1"/>
  <c r="F399" i="1"/>
  <c r="AV427" i="1"/>
  <c r="CB95" i="1"/>
  <c r="AS158" i="1"/>
  <c r="S18" i="1"/>
  <c r="F442" i="1"/>
  <c r="T18" i="1"/>
  <c r="F448" i="1"/>
  <c r="AW22" i="1"/>
  <c r="F400" i="1"/>
  <c r="AW427" i="1"/>
  <c r="F294" i="1"/>
  <c r="AS264" i="1"/>
  <c r="Y309" i="1"/>
  <c r="F353" i="1"/>
  <c r="AW190" i="1"/>
  <c r="F238" i="1"/>
  <c r="AV190" i="1"/>
  <c r="F237" i="1"/>
  <c r="X22" i="1"/>
  <c r="F420" i="1"/>
  <c r="X427" i="1"/>
  <c r="AS26" i="1"/>
  <c r="F80" i="1"/>
  <c r="Y22" i="1"/>
  <c r="F421" i="1"/>
  <c r="Y427" i="1"/>
  <c r="X309" i="1"/>
  <c r="F352" i="1"/>
  <c r="Y95" i="1"/>
  <c r="F185" i="1"/>
  <c r="R22" i="1"/>
  <c r="F408" i="1"/>
  <c r="R427" i="1"/>
  <c r="CA190" i="1"/>
  <c r="AR232" i="1"/>
  <c r="U22" i="1"/>
  <c r="F416" i="1"/>
  <c r="U427" i="1"/>
  <c r="AR264" i="1"/>
  <c r="F305" i="1"/>
  <c r="W18" i="1"/>
  <c r="F451" i="1"/>
  <c r="AY22" i="1"/>
  <c r="AY427" i="1"/>
  <c r="F402" i="1"/>
  <c r="O26" i="1"/>
  <c r="F65" i="1"/>
  <c r="O394" i="1"/>
  <c r="F343" i="1"/>
  <c r="AS309" i="1"/>
  <c r="AU18" i="1"/>
  <c r="F446" i="1"/>
  <c r="CB190" i="1"/>
  <c r="AS232" i="1"/>
  <c r="AS394" i="1" s="1"/>
  <c r="O264" i="1"/>
  <c r="F279" i="1"/>
  <c r="AR26" i="1"/>
  <c r="F91" i="1"/>
  <c r="O95" i="1"/>
  <c r="F160" i="1"/>
  <c r="CA95" i="1"/>
  <c r="AR158" i="1"/>
  <c r="J16" i="2"/>
  <c r="J18" i="2" s="1"/>
  <c r="O190" i="1"/>
  <c r="F234" i="1"/>
  <c r="AY190" i="1"/>
  <c r="F240" i="1"/>
  <c r="P18" i="1"/>
  <c r="F430" i="1"/>
  <c r="Q18" i="1"/>
  <c r="F439" i="1"/>
  <c r="X95" i="1"/>
  <c r="F184" i="1"/>
  <c r="AR326" i="1"/>
  <c r="CA309" i="1"/>
  <c r="BA18" i="1"/>
  <c r="F447" i="1"/>
  <c r="H16" i="2"/>
  <c r="H18" i="2" s="1"/>
  <c r="V18" i="1"/>
  <c r="F450" i="1"/>
  <c r="AS22" i="1" l="1"/>
  <c r="F411" i="1"/>
  <c r="E16" i="2" s="1"/>
  <c r="AS427" i="1"/>
  <c r="O22" i="1"/>
  <c r="O427" i="1"/>
  <c r="F396" i="1"/>
  <c r="X18" i="1"/>
  <c r="F453" i="1"/>
  <c r="R18" i="1"/>
  <c r="F441" i="1"/>
  <c r="AW18" i="1"/>
  <c r="F433" i="1"/>
  <c r="AV18" i="1"/>
  <c r="F432" i="1"/>
  <c r="AR309" i="1"/>
  <c r="F354" i="1"/>
  <c r="AR95" i="1"/>
  <c r="F186" i="1"/>
  <c r="AR394" i="1"/>
  <c r="AR190" i="1"/>
  <c r="F260" i="1"/>
  <c r="AY18" i="1"/>
  <c r="F435" i="1"/>
  <c r="AS190" i="1"/>
  <c r="F249" i="1"/>
  <c r="U18" i="1"/>
  <c r="F449" i="1"/>
  <c r="Y18" i="1"/>
  <c r="F454" i="1"/>
  <c r="AS95" i="1"/>
  <c r="F175" i="1"/>
  <c r="AR22" i="1" l="1"/>
  <c r="AR427" i="1"/>
  <c r="F422" i="1"/>
  <c r="F423" i="1" s="1"/>
  <c r="F424" i="1" s="1"/>
  <c r="F425" i="1" s="1"/>
  <c r="AS18" i="1"/>
  <c r="F444" i="1"/>
  <c r="E18" i="2"/>
  <c r="I16" i="2"/>
  <c r="I18" i="2" s="1"/>
  <c r="O18" i="1"/>
  <c r="F429" i="1"/>
  <c r="AR18" i="1" l="1"/>
  <c r="F455" i="1"/>
  <c r="F456" i="1" s="1"/>
  <c r="F457" i="1" s="1"/>
  <c r="F458" i="1" s="1"/>
</calcChain>
</file>

<file path=xl/sharedStrings.xml><?xml version="1.0" encoding="utf-8"?>
<sst xmlns="http://schemas.openxmlformats.org/spreadsheetml/2006/main" count="15501" uniqueCount="1034">
  <si>
    <t>Smeta.RU  (495) 974-1589</t>
  </si>
  <si>
    <t>_PS_</t>
  </si>
  <si>
    <t>Smeta.RU</t>
  </si>
  <si>
    <t/>
  </si>
  <si>
    <t>Новый объект_(Копия)_(Копия)_(Копия) (ТСН-2001 (Мосгосэкспертиза))</t>
  </si>
  <si>
    <t>ГБУ "Мой семейный центр "Зеленоград" по адресу: г. Москва, г. Зеленоград, к.1426_(до 3) (ТСН-2001 (Мосгосэкспертиза))</t>
  </si>
  <si>
    <t>Сметные нормы списания</t>
  </si>
  <si>
    <t>Коды ОКП для ТСН-2001 МГЭ</t>
  </si>
  <si>
    <t>Типовой расчет для ТСН-2001 МГЭ, Новая методика с выпуска доп. 43 (Ремонт), Доп 71</t>
  </si>
  <si>
    <t>Территориальные сметные нормативы для Москвы ТСН-2001 (МГЭ)</t>
  </si>
  <si>
    <t>Поправки для ТСН-2001 от 18.07.2023 г. доп.69</t>
  </si>
  <si>
    <t>Территориальные сметные нормативы для Москвы (ТСН-2001)</t>
  </si>
  <si>
    <t>ТЕР</t>
  </si>
  <si>
    <t>Новая локальная смета</t>
  </si>
  <si>
    <t>Новый раздел</t>
  </si>
  <si>
    <t>Потолок</t>
  </si>
  <si>
    <t>Демонтаж</t>
  </si>
  <si>
    <t>1</t>
  </si>
  <si>
    <t>6.62-31-1</t>
  </si>
  <si>
    <t>Расчистка поверхностей от старых покрасок (шпателем, щетками и т.д.)</t>
  </si>
  <si>
    <t>1 м2 поверхности</t>
  </si>
  <si>
    <t>ТСН-2001.6. Доп. 1-42. Сб. 62, т. 31, поз. 1</t>
  </si>
  <si>
    <t>Ремонтно-строительные работы</t>
  </si>
  <si>
    <t>ТСН-2001.6-62. 62-31...62-41</t>
  </si>
  <si>
    <t>ТСН-2001.6-62-13</t>
  </si>
  <si>
    <t>2</t>
  </si>
  <si>
    <t>6.54-1-6</t>
  </si>
  <si>
    <t>Разборка подвесных потолков из плит акмигран (Демонтаж реечного)</t>
  </si>
  <si>
    <t>100 м2</t>
  </si>
  <si>
    <t>ТСН-2001.6 Доп. 55, Сб. 54, т. 1, поз. 6</t>
  </si>
  <si>
    <t>ТСН-2001.6-54. 54-1...54-5</t>
  </si>
  <si>
    <t>ТСН-2001.6-54-2</t>
  </si>
  <si>
    <t>3.10-98-2</t>
  </si>
  <si>
    <t>Устройство подвесных потолков из гипсокартонных листов (ГКЛ) одноуровневых (П 113) (Демонтаж)</t>
  </si>
  <si>
    <t>ТСН-2001.3 Доп. 69, Сб. 10, т. 98, поз. 2</t>
  </si>
  <si>
    <t>)*0</t>
  </si>
  <si>
    <t>)*0,8</t>
  </si>
  <si>
    <t>Строительные работы</t>
  </si>
  <si>
    <t>ТСН-2001.3-10. 10-98 (доп. 28, доп. 29)</t>
  </si>
  <si>
    <t>ТСН-2001.3-10-12</t>
  </si>
  <si>
    <t>3</t>
  </si>
  <si>
    <t>6.54-18-1</t>
  </si>
  <si>
    <t>Демонтаж подвесного потолка из плит размером 600 мм х 600 мм и металлической подвесной системы</t>
  </si>
  <si>
    <t>ТСН-2001.6 Доп. 68, Сб. 54, т. 18, поз. 1</t>
  </si>
  <si>
    <t>ТСН-2001.6-54. 54-15-2, 54-18-1 (доп. 55)</t>
  </si>
  <si>
    <t>ТСН-2001.6-54-10</t>
  </si>
  <si>
    <t>Монтаж</t>
  </si>
  <si>
    <t>4</t>
  </si>
  <si>
    <t>3.15-165-2</t>
  </si>
  <si>
    <t>Обработка поверхностей потолков грунтовкой глубокого проникновения внутри помещения</t>
  </si>
  <si>
    <t>ТСН-2001.3 Доп. 68, Сб. 15, т. 165, поз. 2</t>
  </si>
  <si>
    <t>)*1,25</t>
  </si>
  <si>
    <t>)*1,15</t>
  </si>
  <si>
    <t>ТСН-2001.3-15. 15-164, 15-165 (доп. 20)</t>
  </si>
  <si>
    <t>ТСН-2001.3-15-28</t>
  </si>
  <si>
    <t>4,1</t>
  </si>
  <si>
    <t>1.1-1-2854</t>
  </si>
  <si>
    <t>Грунтовка акриловая типа «Бетоконтакт», адгезионная для обработки бетонных оснований перед оштукатуриванием</t>
  </si>
  <si>
    <t>кг</t>
  </si>
  <si>
    <t>ТСН-2001.1 Доп. 44, Р. 1, о. 1, поз. 2854</t>
  </si>
  <si>
    <t>5</t>
  </si>
  <si>
    <t>3.15-55-2</t>
  </si>
  <si>
    <t>Сплошное выравнивание бетонных поверхностей (однослойная штукатурка) цементно-известковым раствором потолков</t>
  </si>
  <si>
    <t>100 м2 оштукатуриваемой поверхности</t>
  </si>
  <si>
    <t>ТСН-2001.3 Доп. 71, Сб. 15, т. 55, поз. 2</t>
  </si>
  <si>
    <t>ТСН-2001.3-15. 15-51...15-81</t>
  </si>
  <si>
    <t>ТСН-2001.3-15-7</t>
  </si>
  <si>
    <t>5,1</t>
  </si>
  <si>
    <t>1.1-1-118</t>
  </si>
  <si>
    <t>Вода</t>
  </si>
  <si>
    <t>м3</t>
  </si>
  <si>
    <t>ТСН-2001.1. Доп. 1-42. Р. 1, о. 1, поз. 118</t>
  </si>
  <si>
    <t>5,2</t>
  </si>
  <si>
    <t>1.3-2-29</t>
  </si>
  <si>
    <t>Смесь сухая, цементно-известково-песчаная, штукатурная, для наружных и внутренних работ, ручного нанесения, В7,5 (М100), F50, крупность заполнителя не более 0,5 мм</t>
  </si>
  <si>
    <t>т</t>
  </si>
  <si>
    <t>ТСН-2001.1 Доп. 70, Р. 3, о. 2, поз. 29</t>
  </si>
  <si>
    <t>5,3</t>
  </si>
  <si>
    <t>1.3-2-13</t>
  </si>
  <si>
    <t>Раствор цементно-известковый, марка М75</t>
  </si>
  <si>
    <t>ТСН-2001.1 Доп. 70, Р. 3, о. 2, поз. 13</t>
  </si>
  <si>
    <t>6</t>
  </si>
  <si>
    <t>3.15-176-1</t>
  </si>
  <si>
    <t>Окраска водно-дисперсионными латексными составами улучшенная по штукатурке потолков</t>
  </si>
  <si>
    <t>ТСН-2001.3 Доп. 68, Сб. 15, т. 176, поз. 1</t>
  </si>
  <si>
    <t>ТСН-2001.3-15. 15-176-1 (доп. 46)</t>
  </si>
  <si>
    <t>ТСН-2001.3-15-39</t>
  </si>
  <si>
    <t>6,1</t>
  </si>
  <si>
    <t>6,2</t>
  </si>
  <si>
    <t>1.1-1-3932</t>
  </si>
  <si>
    <t>ТСН-2001.1 Доп. 54, Р. 1, о. 1, поз. 3932</t>
  </si>
  <si>
    <t>7</t>
  </si>
  <si>
    <t>3.15-199-1</t>
  </si>
  <si>
    <t>Устройство потолков: реечных алюминиевых</t>
  </si>
  <si>
    <t>ТСН-2001.3 Доп. 71, Сб. 15, т. 199, поз. 1</t>
  </si>
  <si>
    <t>ТСН-2001.3-15. 15-199-1 (доп. 71)</t>
  </si>
  <si>
    <t>ТСН-2001.3-15-63</t>
  </si>
  <si>
    <t>7,1</t>
  </si>
  <si>
    <t>1.6-2-106</t>
  </si>
  <si>
    <t>Потолок реечный подвесной из алюминиевых профилей, ширина рейки 150 мм, без перфорации, окрашенный порошковой краской, цвет белый</t>
  </si>
  <si>
    <t>м2</t>
  </si>
  <si>
    <t>ТСН-2001.1 Доп. 67, Р. 6, о. 2, поз. 106</t>
  </si>
  <si>
    <t>3.9-51-1</t>
  </si>
  <si>
    <t>Монтаж подвесных потолков из алюминиевых перфорированных или сплошных реек</t>
  </si>
  <si>
    <t>ТСН-2001.3 Доп. 69, Сб. 9, т. 51, поз. 1</t>
  </si>
  <si>
    <t>ТСН-2001.3-9. 9-1...9-72</t>
  </si>
  <si>
    <t>ТСН-2001.3-9-1</t>
  </si>
  <si>
    <t>8</t>
  </si>
  <si>
    <t>3.15-29-1</t>
  </si>
  <si>
    <t>Устройство подвесных потолков из декоративно-акустических плит по готовому каркасу с установкой направляющих из алюминиевого профиля и деталей крепления</t>
  </si>
  <si>
    <t>ТСН-2001.3 Доп. 71, Сб. 15, т. 29, поз. 1</t>
  </si>
  <si>
    <t>ТСН-2001.3-15. 15-25...15-29</t>
  </si>
  <si>
    <t>ТСН-2001.3-15-5</t>
  </si>
  <si>
    <t>8,1</t>
  </si>
  <si>
    <t>1.1-1-863</t>
  </si>
  <si>
    <t>Комплектующие к потолкам подвесным из минеральных плит</t>
  </si>
  <si>
    <t>КОМПЛЕКТ</t>
  </si>
  <si>
    <t>ТСН-2001.1 Доп. 55, Р. 1, о. 1, поз. 863</t>
  </si>
  <si>
    <t>8,2</t>
  </si>
  <si>
    <t>1.1-1-2105</t>
  </si>
  <si>
    <t>Плита для подвесных потолков, акустическая, на основе стекловолокна высокой плотности, класс звукопоглощения А, лицевая сторона с микропористым покрытием, задняя покрыта стеклотканью, толщина 15 мм</t>
  </si>
  <si>
    <t>ТСН-2001.1 Доп. 55, Р. 1, о. 1, поз. 2105</t>
  </si>
  <si>
    <t>Устройство подвесных потолков из гипсокартонных листов (ГКЛ) одноуровневых (П 113)</t>
  </si>
  <si>
    <t>1.1-1-3719</t>
  </si>
  <si>
    <t>Лента уплотнительная, полимерная, микропористая, самоклеящаяся, ширина 50 мм, толщина 3 мм, для звукоизоляции и плотного сопряжения металлических профилей каркаса облицовок и перегородок с несущими строительными конструкциями в местах примыкания</t>
  </si>
  <si>
    <t>м</t>
  </si>
  <si>
    <t>ТСН-2001.1 Доп. 55, Р. 1, о. 1, поз. 3719</t>
  </si>
  <si>
    <t>1.7-4-39</t>
  </si>
  <si>
    <t>Тяги подвесов из оцинкованной стали для монтажа подвесных потолков, длина 500 мм</t>
  </si>
  <si>
    <t>100 шт.</t>
  </si>
  <si>
    <t>ТСН-2001.1. Доп. 1-42. Р. 7, о. 4, поз. 39</t>
  </si>
  <si>
    <t>1.1-1-569</t>
  </si>
  <si>
    <t>Лист гипсокартонный влагостойкий, толщина от 13 до 16 мм</t>
  </si>
  <si>
    <t>ТСН-2001.1 Доп. 67, Р. 1, о. 1, поз. 569</t>
  </si>
  <si>
    <t>3.15-103-6</t>
  </si>
  <si>
    <t>Третья шпатлевка потолков при окраске по штукатурке и сборным конструкциям, подготовленным под окраску</t>
  </si>
  <si>
    <t>100 м2 окрашиваемой поверхности</t>
  </si>
  <si>
    <t>ТСН-2001.3 Доп. 71, Сб. 15, т. 103, поз. 6</t>
  </si>
  <si>
    <t>ТСН-2001.3-15. 15-91-3, 15-91-4, 15-92...15-115</t>
  </si>
  <si>
    <t>ТСН-2001.3-15-9</t>
  </si>
  <si>
    <t>1.1-1-1487</t>
  </si>
  <si>
    <t>Шпатлевка масляно-клеевая универсальная</t>
  </si>
  <si>
    <t>ТСН-2001.1. Доп. 1-42. Р. 1, о. 1, поз. 1487</t>
  </si>
  <si>
    <t>3.15-176-4</t>
  </si>
  <si>
    <t>Окраска водно-дисперсионными акриловыми и латексными составами, улучшенная, по сборным конструкциям потолков, подготовленным под окраску</t>
  </si>
  <si>
    <t>ТСН-2001.3 Доп. 68, Сб. 15, т. 176, поз. 4</t>
  </si>
  <si>
    <t>ТСН-2001.3-15. 15-176-2...15-176-8 (доп. 53)</t>
  </si>
  <si>
    <t>ТСН-2001.3-15-44</t>
  </si>
  <si>
    <t>3.15-164-1</t>
  </si>
  <si>
    <t>Установка декоративных карнизов из полистирола при внутренней отделке помещений</t>
  </si>
  <si>
    <t>100 м</t>
  </si>
  <si>
    <t>ТСН-2001.3 Доп. 68, Сб. 15, т. 164, поз. 1</t>
  </si>
  <si>
    <t>1.1-1-3499</t>
  </si>
  <si>
    <t>Клей акриловый, универсальный, водостойкий</t>
  </si>
  <si>
    <t>л</t>
  </si>
  <si>
    <t>ТСН-2001.1 Доп. 67, Р. 1, о. 1, поз. 3499</t>
  </si>
  <si>
    <t>1.1-1-3496</t>
  </si>
  <si>
    <t>Профили декоративные (карнизы, плинтусы) из экструдированного полистирола, белые, размеры от 20 до 40 мм</t>
  </si>
  <si>
    <t>ТСН-2001.1 Доп. 67, Р. 1, о. 1, поз. 3496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</si>
  <si>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</si>
  <si>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</si>
  <si>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</si>
  <si>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</si>
  <si>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</si>
  <si>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</si>
  <si>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</si>
  <si>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</si>
  <si>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</si>
  <si>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</si>
  <si>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</si>
  <si>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</si>
  <si>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</si>
  <si>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</si>
  <si>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</si>
  <si>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</si>
  <si>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</si>
  <si>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</si>
  <si>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</si>
  <si>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</si>
  <si>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</si>
  <si>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</si>
  <si>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</si>
  <si>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</si>
  <si>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</si>
  <si>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</si>
  <si>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</si>
  <si>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</si>
  <si>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</si>
  <si>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</si>
  <si>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</si>
  <si>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</si>
  <si>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</si>
  <si>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</si>
  <si>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</si>
  <si>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</si>
  <si>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</si>
  <si>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</si>
  <si>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</si>
  <si>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</si>
  <si>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</si>
  <si>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</si>
  <si>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</si>
  <si>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</si>
  <si>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</si>
  <si>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</si>
  <si>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</si>
  <si>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</si>
  <si>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</si>
  <si>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</si>
  <si>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</si>
  <si>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</si>
  <si>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</si>
  <si>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Стены</t>
  </si>
  <si>
    <t>9</t>
  </si>
  <si>
    <t>6.63-7-5</t>
  </si>
  <si>
    <t>Разборка облицовки стен из керамических глазурованных плиток</t>
  </si>
  <si>
    <t>100 М2 ОБЛИЦОВКИ</t>
  </si>
  <si>
    <t>ТСН-2001.6. Доп. 1-42. Сб. 63, т. 7, поз. 5</t>
  </si>
  <si>
    <t>)*0,6</t>
  </si>
  <si>
    <t>ТСН-2001.6-63. 63-7</t>
  </si>
  <si>
    <t>ТСН-2001.6-63-3</t>
  </si>
  <si>
    <t>10</t>
  </si>
  <si>
    <t>6.61-26-2</t>
  </si>
  <si>
    <t>Отбивка штукатурки по кирпичу и бетону стен, потолков площадью более 5 м2</t>
  </si>
  <si>
    <t>ТСН-2001.6. Доп. 1-42. Сб. 61, т. 26, поз. 2</t>
  </si>
  <si>
    <t>ТСН-2001.6-61. 61-26</t>
  </si>
  <si>
    <t>ТСН-2001.6-61-3</t>
  </si>
  <si>
    <t>11</t>
  </si>
  <si>
    <t>6.63-6-1</t>
  </si>
  <si>
    <t>Снятие обоев простых и улучшенных</t>
  </si>
  <si>
    <t>100 М2 ОКЛЕЕННОЙ ПОВЕРХНОСТИ</t>
  </si>
  <si>
    <t>ТСН-2001.6. Доп. 1-42. Сб. 63, т. 6, поз. 1</t>
  </si>
  <si>
    <t>ТСН-2001.6-63. 63-6</t>
  </si>
  <si>
    <t>ТСН-2001.6-63-2</t>
  </si>
  <si>
    <t>12</t>
  </si>
  <si>
    <t>3.10-89-1</t>
  </si>
  <si>
    <t>Устройство перегородок из гипсокартонных листов (ГКЛ) с одинарным металлическим каркасом и двухслойной обшивкой с обеих сторон (С 112) глухих (Демонтаж)</t>
  </si>
  <si>
    <t>100 м2 перегородки</t>
  </si>
  <si>
    <t>ТСН-2001.3 Доп. 69, Сб. 10, т. 89, поз. 1</t>
  </si>
  <si>
    <t>ТСН-2001.3-10. 10-88…10-121 (доп. 29)</t>
  </si>
  <si>
    <t>ТСН-2001.3-10-13</t>
  </si>
  <si>
    <t>3.10-97-1</t>
  </si>
  <si>
    <t>Облицовка стен по одинарному металлическому каркасу из ПН и ПС профилей гипсокартонными листами в два слоя (С 626) с оконным проемом (Демонтаж)</t>
  </si>
  <si>
    <t>ТСН-2001.3 Доп. 69, Сб. 10, т. 97, поз. 1</t>
  </si>
  <si>
    <t>ТСН-2001.3-10. 10-96, 10-97-1 (доп. 28, доп. 29)</t>
  </si>
  <si>
    <t>ТСН-2001.3-10-10</t>
  </si>
  <si>
    <t>6.55-3-1</t>
  </si>
  <si>
    <t>Разборка кирпичных перегородок (толщина 120мм)</t>
  </si>
  <si>
    <t>1 м3 кладки</t>
  </si>
  <si>
    <t>ТСН-2001.6. Доп. 1-42. Сб. 55, т. 3, поз. 1</t>
  </si>
  <si>
    <t>ТСН-2001.6-55. 55-1...55-4</t>
  </si>
  <si>
    <t>ТСН-2001.6-55-1</t>
  </si>
  <si>
    <t>13</t>
  </si>
  <si>
    <t>3.15-165-1</t>
  </si>
  <si>
    <t>Обработка поверхностей стен грунтовкой глубокого проникновения внутри помещения</t>
  </si>
  <si>
    <t>ТСН-2001.3 Доп. 68, Сб. 15, т. 165, поз. 1</t>
  </si>
  <si>
    <t>13,1</t>
  </si>
  <si>
    <t>14</t>
  </si>
  <si>
    <t>3.15-52-1</t>
  </si>
  <si>
    <t>Простое оштукатуривание стен цементно-известковым раствором по камню и бетону внутри зданий</t>
  </si>
  <si>
    <t>ТСН-2001.3 Доп. 71, Сб. 15, т. 52, поз. 1</t>
  </si>
  <si>
    <t>14,1</t>
  </si>
  <si>
    <t>14,2</t>
  </si>
  <si>
    <t>Смеси сухие штукатурные цементно-известково-песчаные для внутренних и наружных работ, для ручного нанесения, В7,5 (М100), F50, крупность заполнителя не более 0,5 мм</t>
  </si>
  <si>
    <t>14,3</t>
  </si>
  <si>
    <t>Растворы цементно-известковые, марка 75</t>
  </si>
  <si>
    <t>15</t>
  </si>
  <si>
    <t>3.15-149-1</t>
  </si>
  <si>
    <t>Гладкая облицовка стен (без карнизных, плинтусных и угловых плиток) на клее из сухих смесей по камню и бетону</t>
  </si>
  <si>
    <t>ТСН-2001.3 Доп. 71, Сб. 15, т. 149, поз. 1</t>
  </si>
  <si>
    <t>ТСН-2001.3-15. 15-149, 15-150</t>
  </si>
  <si>
    <t>ТСН-2001.3-15-18</t>
  </si>
  <si>
    <t>15,1</t>
  </si>
  <si>
    <t>1.3-2-138</t>
  </si>
  <si>
    <t>Смеси сухие для заполнения швов между плитками, цветные</t>
  </si>
  <si>
    <t>ТСН-2001.1 Доп. 70, Р. 3, о. 2, поз. 138</t>
  </si>
  <si>
    <t>15,2</t>
  </si>
  <si>
    <t>1.3-2-167</t>
  </si>
  <si>
    <t>Смеси сухие клеевые, высокоадгезионные, для внутренних и наружных работ, для облицовки поверхностей керамогранитом, натуральным и искусственным камнем, керамической плиткой, для кладки блоков из ячеистого бетона</t>
  </si>
  <si>
    <t>ТСН-2001.1 Доп. 70, Р. 3, о. 2, поз. 167</t>
  </si>
  <si>
    <t>15,3</t>
  </si>
  <si>
    <t>1.1-1-4103</t>
  </si>
  <si>
    <t>Плитки керамические для внутренней облицовки стен, прямоугольные, глазурованные, гладкие, одноцветные, размеры 250х400 мм, толщина 8 мм</t>
  </si>
  <si>
    <t>ТСН-2001.1 Доп. 67, Р. 1, о. 1, поз. 4103</t>
  </si>
  <si>
    <t>16</t>
  </si>
  <si>
    <t>3.15-52-3</t>
  </si>
  <si>
    <t>Улучшенное оштукатуривание стен цементно-известковым раствором по камню и бетону внутри зданий</t>
  </si>
  <si>
    <t>ТСН-2001.3 Доп. 71, Сб. 15, т. 52, поз. 3</t>
  </si>
  <si>
    <t>16,1</t>
  </si>
  <si>
    <t>16,2</t>
  </si>
  <si>
    <t>16,3</t>
  </si>
  <si>
    <t>17</t>
  </si>
  <si>
    <t>3.15-176-2</t>
  </si>
  <si>
    <t>Окраска водно-дисперсионными акриловыми и латексными составами, улучшенная, по штукатурке стен</t>
  </si>
  <si>
    <t>ТСН-2001.3 Доп. 69, Сб. 15, т. 176, поз. 2</t>
  </si>
  <si>
    <t>17,1</t>
  </si>
  <si>
    <t>17,2</t>
  </si>
  <si>
    <t>18</t>
  </si>
  <si>
    <t>3.15-140-1</t>
  </si>
  <si>
    <t>Настенное покрытие стеклообоями с окраской поливинилацетатными красками за один раз с подготовкой</t>
  </si>
  <si>
    <t>100 м2 оклеиваемой поверхности</t>
  </si>
  <si>
    <t>ТСН-2001.3 Доп. 71, Сб. 15, т. 140, поз. 1</t>
  </si>
  <si>
    <t>ТСН-2001.3-15. 15-139...15-141</t>
  </si>
  <si>
    <t>ТСН-2001.3-15-13</t>
  </si>
  <si>
    <t>18,1</t>
  </si>
  <si>
    <t>1.1-1-2180</t>
  </si>
  <si>
    <t>ТСН-2001.1 Доп. 55, Р. 1, о. 1, поз. 2180</t>
  </si>
  <si>
    <t>18,2</t>
  </si>
  <si>
    <t>1.3-2-44</t>
  </si>
  <si>
    <t>ТСН-2001.1 Доп. 67, Р. 3, о. 2, поз. 44</t>
  </si>
  <si>
    <t>18,3</t>
  </si>
  <si>
    <t>1.1-1-4105</t>
  </si>
  <si>
    <t>Обои виниловые на флизелиновой основе, рельефные, под покраску</t>
  </si>
  <si>
    <t>ТСН-2001.1 Доп. 67, Р. 1, о. 1, поз. 4105</t>
  </si>
  <si>
    <t>19</t>
  </si>
  <si>
    <t>3.15-140-3</t>
  </si>
  <si>
    <t>Добавляется на окраску поливинилацетатными красками стеклообоев на каждый последующий слой к позициям 3.15-140-1, 3.15-140-2</t>
  </si>
  <si>
    <t>ТСН-2001.3. Доп. 1-42. Сб. 15, т. 140, поз. 3</t>
  </si>
  <si>
    <t>19,1</t>
  </si>
  <si>
    <t>Перегородки</t>
  </si>
  <si>
    <t>20</t>
  </si>
  <si>
    <t>Устройство перегородок из гипсокартонных листов (ГКЛ) с одинарным металлическим каркасом и двухслойной обшивкой с обеих сторон (С 112) глухих</t>
  </si>
  <si>
    <t>20,1</t>
  </si>
  <si>
    <t>20,2</t>
  </si>
  <si>
    <t>1.7-4-31</t>
  </si>
  <si>
    <t>Профиль стоечный С-образный, стальной оцинкованный, для устройства вертикальных стоек каркасов гипсокартонных перегородок и облицовок, марка ПС, сечение 50х50х0,6 мм</t>
  </si>
  <si>
    <t>ТСН-2001.1 Доп. 67, Р. 7, о. 4, поз. 31</t>
  </si>
  <si>
    <t>20,3</t>
  </si>
  <si>
    <t>1.7-4-27</t>
  </si>
  <si>
    <t>Профиль направляющий П-образный, стальной оцинкованный, для использования в качестве направляющих элементов стоечных профилей и устройства перемычек между ними в каркасах гипсокартонных перегородок и облицовок, марка ПН, сечение 50х40х0,6 мм</t>
  </si>
  <si>
    <t>ТСН-2001.1 Доп. 67, Р. 7, о. 4, поз. 27</t>
  </si>
  <si>
    <t>20,4</t>
  </si>
  <si>
    <t>1.1-1-567</t>
  </si>
  <si>
    <t>Листы гипсокартонные, толщина 12-16 мм</t>
  </si>
  <si>
    <t>ТСН-2001.1 Доп. 67, Р. 1, о. 1, поз. 567</t>
  </si>
  <si>
    <t>20,5</t>
  </si>
  <si>
    <t>1.1-1-884</t>
  </si>
  <si>
    <t>Плиты из минеральной ваты на синтетическом связующем, теплоизоляционные, марка ПП-80</t>
  </si>
  <si>
    <t>ТСН-2001.1 Доп. 49, Р. 1, о. 1, поз. 884</t>
  </si>
  <si>
    <t>Облицовка стен по одинарному металлическому каркасу из ПН и ПС профилей гипсокартонными листами в два слоя (С 626) с оконным проемом</t>
  </si>
  <si>
    <t>Профиль направляющий П-образный, стальной оцинкованный, для использования в качестве направляющих элементов стоечных профилей и устройства перемычек между ними в каркасах гипсокартонных перегородок и облицовок, типа ПН, сечение 50х40х0,6 мм</t>
  </si>
  <si>
    <t>Профиль стоечный С-образный, стальной оцинкованный, для устройства вертикальных стоек каркасов гипсокартонных перегородок и облицовок, типа ПС, сечение 50х50х0,6 мм</t>
  </si>
  <si>
    <t>Лист гипсокартонный, толщина от 13 до 16 мм</t>
  </si>
  <si>
    <t>3.26-27-1</t>
  </si>
  <si>
    <t>Теплоизоляция покрытий и перекрытий изделиями из волокнистых и зернистых материалов насухо (Применительно: изоляция облицовки стен)</t>
  </si>
  <si>
    <t>1 м3 изоляции</t>
  </si>
  <si>
    <t>ТСН-2001.3 Доп. 68, Сб. 26, т. 27, поз. 1</t>
  </si>
  <si>
    <t>ТСН-2001.3-26. 26-1...26-54</t>
  </si>
  <si>
    <t>ТСН-2001.3-26-1</t>
  </si>
  <si>
    <t>21</t>
  </si>
  <si>
    <t>3.15-103-5</t>
  </si>
  <si>
    <t>Третья шпатлевка стен при окраске по штукатурке и сборным конструкциям, подготовленным под окраску</t>
  </si>
  <si>
    <t>ТСН-2001.3 Доп. 71, Сб. 15, т. 103, поз. 5</t>
  </si>
  <si>
    <t>21,1</t>
  </si>
  <si>
    <t>22</t>
  </si>
  <si>
    <t>3.15-176-3</t>
  </si>
  <si>
    <t>Окраска водно-дисперсионными акриловыми и латексными составами, улучшенная, по сборным конструкциям стен, подготовленным под окраску</t>
  </si>
  <si>
    <t>ТСН-2001.3 Доп. 68, Сб. 15, т. 176, поз. 3</t>
  </si>
  <si>
    <t>22,1</t>
  </si>
  <si>
    <t>22,2</t>
  </si>
  <si>
    <t>3.8-4-5</t>
  </si>
  <si>
    <t>Кладка перегородок неармированных толщиной в 1/2 кирпича при высоте этажа до 4 м</t>
  </si>
  <si>
    <t>100 м2 перегородок (за вычетом проемов)</t>
  </si>
  <si>
    <t>ТСН-2001.3 Доп. 69, Сб. 8, т. 4, поз. 5</t>
  </si>
  <si>
    <t>ТСН-2001.3-8. 8-3...8-19</t>
  </si>
  <si>
    <t>ТСН-2001.3-8-3</t>
  </si>
  <si>
    <t>1.1-1-352</t>
  </si>
  <si>
    <t>Кирпич керамический обыкновенный, размер 250х120х65 мм, марка 125</t>
  </si>
  <si>
    <t>1000 шт.</t>
  </si>
  <si>
    <t>ТСН-2001.1 Доп. 70, Р. 1, о. 1, поз. 352</t>
  </si>
  <si>
    <t>3.15-64-1</t>
  </si>
  <si>
    <t>Улучшенная штукатурка по сетке стен без устройства каркаса цементно-известковым раствором</t>
  </si>
  <si>
    <t>ТСН-2001.3 Доп. 71, Сб. 15, т. 64, поз. 1</t>
  </si>
  <si>
    <t>Полы</t>
  </si>
  <si>
    <t>23</t>
  </si>
  <si>
    <t>6.57-2-5</t>
  </si>
  <si>
    <t>Разборка покрытий из линолеума и релина</t>
  </si>
  <si>
    <t>100 м2 покрытия</t>
  </si>
  <si>
    <t>ТСН-2001.6. Доп. 1-42. Сб. 57, т. 2, поз. 5</t>
  </si>
  <si>
    <t>ТСН-2001.6-57. 57-1...57-5</t>
  </si>
  <si>
    <t>ТСН-2001.6-57-1</t>
  </si>
  <si>
    <t>24</t>
  </si>
  <si>
    <t>6.57-3-1</t>
  </si>
  <si>
    <t>Разборка деревянных плинтусов</t>
  </si>
  <si>
    <t>100 М ПЛИНТУСОВ</t>
  </si>
  <si>
    <t>ТСН-2001.6. Доп. 1-42. Сб. 57, т. 3, поз. 1</t>
  </si>
  <si>
    <t>25</t>
  </si>
  <si>
    <t>6.57-2-7</t>
  </si>
  <si>
    <t>Разборка покрытий из керамических плиток</t>
  </si>
  <si>
    <t>ТСН-2001.6 Доп. 68, Сб. 57, т. 2, поз. 7</t>
  </si>
  <si>
    <t>26</t>
  </si>
  <si>
    <t>6.57-2-8</t>
  </si>
  <si>
    <t>Разборка цементных покрытий, толщина 30 мм (толщина 40 мм)</t>
  </si>
  <si>
    <t>ТСН-2001.6 Доп. 68, Сб. 57, т. 2, поз. 8</t>
  </si>
  <si>
    <t>27</t>
  </si>
  <si>
    <t>6.57-2-16</t>
  </si>
  <si>
    <t>Добавляется или исключается на каждые 5 мм изменения толщины покрытия к позиции 6.57-2-8</t>
  </si>
  <si>
    <t>ТСН-2001.6. Доп. 1-42. Сб. 57, т. 2, поз. 16</t>
  </si>
  <si>
    <t>)*2</t>
  </si>
  <si>
    <t>3.8-41-1</t>
  </si>
  <si>
    <t>Гидроизоляция поверхностей с применением сухой смеси гидроизоляционной обмазочной цементной</t>
  </si>
  <si>
    <t>ТСН-2001.3 Доп. 70, Сб. 8, т. 41, поз. 1</t>
  </si>
  <si>
    <t>ТСН-2001.3-8. 8-41</t>
  </si>
  <si>
    <t>ТСН-2001.3-8-14</t>
  </si>
  <si>
    <t>1.3-2-97</t>
  </si>
  <si>
    <t>ТСН-2001.1 Доп. 70, Р. 3, о. 2, поз. 97</t>
  </si>
  <si>
    <t>28</t>
  </si>
  <si>
    <t>3.11-10-1</t>
  </si>
  <si>
    <t>Устройство стяжек цементных толщиной 20 мм  (толщина 40мм)</t>
  </si>
  <si>
    <t>100 м2 стяжки</t>
  </si>
  <si>
    <t>ТСН-2001.3 Доп. 69, Сб. 11, т. 10, поз. 1</t>
  </si>
  <si>
    <t>ТСН-2001.3-11. 11-4...11-11 (доп. 11)</t>
  </si>
  <si>
    <t>ТСН-2001.3-11-2</t>
  </si>
  <si>
    <t>28,1</t>
  </si>
  <si>
    <t>1.3-2-6</t>
  </si>
  <si>
    <t>Раствор цементный, марка М150</t>
  </si>
  <si>
    <t>ТСН-2001.1 Доп. 67, Р. 3, о. 2, поз. 6</t>
  </si>
  <si>
    <t>29</t>
  </si>
  <si>
    <t>3.11-10-2</t>
  </si>
  <si>
    <t>Добавляется или исключается на каждые 5 мм изменения толщины стяжки к позиции 3.11-10-1</t>
  </si>
  <si>
    <t>ТСН-2001.3 Доп. 68, Сб. 11, т. 10, поз. 2</t>
  </si>
  <si>
    <t>)*4</t>
  </si>
  <si>
    <t>)*1,25)*4</t>
  </si>
  <si>
    <t>)*1,15)*4</t>
  </si>
  <si>
    <t>29,1</t>
  </si>
  <si>
    <t>30</t>
  </si>
  <si>
    <t>3.6-6-10</t>
  </si>
  <si>
    <t>Армирование подстилающих слоев и набетонок</t>
  </si>
  <si>
    <t>1 Т</t>
  </si>
  <si>
    <t>ТСН-2001.3 Доп. 68, Сб. 6, т. 6, поз. 10</t>
  </si>
  <si>
    <t>ТСН-2001.3-6. 6-1...6-13</t>
  </si>
  <si>
    <t>ТСН-2001.3-6-1</t>
  </si>
  <si>
    <t>30,1</t>
  </si>
  <si>
    <t>1.3-4-75</t>
  </si>
  <si>
    <t>Каркасы и сетки арматурные плоские, собранные и сваренные (связанные) в арматурные изделия, класс Вр-1, диаметр 5 мм</t>
  </si>
  <si>
    <t>ТСН-2001.1 Доп. 67, Р. 3, о. 4, поз. 75</t>
  </si>
  <si>
    <t>31</t>
  </si>
  <si>
    <t>3.11-36-1</t>
  </si>
  <si>
    <t>Устройство полов из керамических крупноразмерных плиток типа керамогранит на клее из сухих смесей толщиной слоя 4 мм с затиркой швов</t>
  </si>
  <si>
    <t>ТСН-2001.3 Доп. 71, Сб. 11, т. 36, поз. 1</t>
  </si>
  <si>
    <t>ТСН-2001.3-11. 11-36</t>
  </si>
  <si>
    <t>ТСН-2001.3-11-5</t>
  </si>
  <si>
    <t>31,1</t>
  </si>
  <si>
    <t>Смесь сухая, цементная, фуговочная, для заполнения широких и узких швов между плитками из натурального, искусственного камня и керамогранита, цветная</t>
  </si>
  <si>
    <t>31,2</t>
  </si>
  <si>
    <t>Смесь сухая, цементная, клеевая, высокоадгезионная, для внутренних и наружных работ, для облицовки поверхностей керамогранитом, натуральным и искусственным камнем, керамической плиткой, для кладки блоков из ячеистого бетона</t>
  </si>
  <si>
    <t>31,3</t>
  </si>
  <si>
    <t>1.1-1-4104</t>
  </si>
  <si>
    <t>Плитка керамогранитная универсальная, неполированная, размер 402х402х8 мм</t>
  </si>
  <si>
    <t>ТСН-2001.1 Доп. 67, Р. 1, о. 1, поз. 4104</t>
  </si>
  <si>
    <t>32</t>
  </si>
  <si>
    <t>3.11-43-4</t>
  </si>
  <si>
    <t>Устройство покрытий лестничных площадок и маршей из керамических крупноразмерных плиток типа керамогранит на клее из сухих смесей с затиркой швов</t>
  </si>
  <si>
    <t>ТСН-2001.3 Доп. 71, Сб. 11, т. 43, поз. 4</t>
  </si>
  <si>
    <t>ТСН-2001.3-11. 11-43-4...11-55-1 (доп. 71)</t>
  </si>
  <si>
    <t>ТСН-2001.3-11-25</t>
  </si>
  <si>
    <t>32,1</t>
  </si>
  <si>
    <t>32,2</t>
  </si>
  <si>
    <t>32,3</t>
  </si>
  <si>
    <t>33</t>
  </si>
  <si>
    <t>3.11-28-8</t>
  </si>
  <si>
    <t>Устройство плинтусов из крупноразмерной плитки типа "керамогранит"</t>
  </si>
  <si>
    <t>ТСН-2001.3 Доп. 71, Сб. 11, т. 28, поз. 8</t>
  </si>
  <si>
    <t>ТСН-2001.3-11. 11-13...11-35 (доп. 11)</t>
  </si>
  <si>
    <t>ТСН-2001.3-11-4</t>
  </si>
  <si>
    <t>33,1</t>
  </si>
  <si>
    <t>33,2</t>
  </si>
  <si>
    <t>33,3</t>
  </si>
  <si>
    <t>34</t>
  </si>
  <si>
    <t>3.11-10-11</t>
  </si>
  <si>
    <t>Устройство самовыравнивающихся стяжек из специализированных сухих смесей толщиной 5 мм</t>
  </si>
  <si>
    <t>ТСН-2001.3 Доп. 71, Сб. 11, т. 10, поз. 11</t>
  </si>
  <si>
    <t>ТСН-2001.3-11. 11-10-11, 11-10-12 (доп. 11)</t>
  </si>
  <si>
    <t>ТСН-2001.3-11-10</t>
  </si>
  <si>
    <t>34,1</t>
  </si>
  <si>
    <t>1.1-1-3108</t>
  </si>
  <si>
    <t>Грунтовка акрилатная, водно-дисперсионная, с высокой проникающей способностью, паропроницаемая, для всех видов впитывающих оснований, светло-желтая</t>
  </si>
  <si>
    <t>ТСН-2001.1 Доп. 55, Р. 1, о. 1, поз. 3108</t>
  </si>
  <si>
    <t>34,2</t>
  </si>
  <si>
    <t>1.3-2-37</t>
  </si>
  <si>
    <t>ТСН-2001.1 Доп. 70, Р. 3, о. 2, поз. 37</t>
  </si>
  <si>
    <t>35</t>
  </si>
  <si>
    <t>3.11-42-1</t>
  </si>
  <si>
    <t>Устройство покрытий из рулонного линолеума высокой износостойкости на клее со сваркой стыков</t>
  </si>
  <si>
    <t>ТСН-2001.3 Доп. 68, Сб. 11, т. 42, поз. 1</t>
  </si>
  <si>
    <t>ТСН-2001.3-11. 11-42 (доп. 17)</t>
  </si>
  <si>
    <t>ТСН-2001.3-11-13</t>
  </si>
  <si>
    <t>35,1</t>
  </si>
  <si>
    <t>1.1-1-3259</t>
  </si>
  <si>
    <t>Клей водно-дисперсионный, акриловый, универсальный, для укладки поливинилхлоридных и текстильных покрытий</t>
  </si>
  <si>
    <t>ТСН-2001.1 Доп. 67, Р. 1, о. 1, поз. 3259</t>
  </si>
  <si>
    <t>35,2</t>
  </si>
  <si>
    <t>1.1-1-3320</t>
  </si>
  <si>
    <t>Линолеум поливинилхлоридный высокой износостойкости, класс 34/43, истираемость 110 (86) мкм (Р), группа горючести Г1, толщина 2 мм</t>
  </si>
  <si>
    <t>ТСН-2001.1. Доп. 1-42. Р. 1, о. 1, поз. 3320</t>
  </si>
  <si>
    <t>3.11-37-1</t>
  </si>
  <si>
    <t>Устройство покрытия из ламинат- паркета на основе износостойкого пластика бесклеевым (замковым) способом</t>
  </si>
  <si>
    <t>ТСН-2001.3 Доп. 71, Сб. 11, т. 37, поз. 1</t>
  </si>
  <si>
    <t>ТСН-2001.3-11. 11-37, 11-38 (доп. 11)</t>
  </si>
  <si>
    <t>ТСН-2001.3-11-6</t>
  </si>
  <si>
    <t>1.1-1-6492</t>
  </si>
  <si>
    <t>Покрытие напольное ламинированное (ламинат) на основе древесноволокнистых плит высокой плотности, класс воздействия нагрузки 34, соединение элементов бесклеевое, толщина 12 мм</t>
  </si>
  <si>
    <t>ТСН-2001.1 Доп. 67, Р. 1, о. 1, поз. 6492</t>
  </si>
  <si>
    <t>36</t>
  </si>
  <si>
    <t>3.11-29-3</t>
  </si>
  <si>
    <t>Устройство плинтусов поливинилхлоридных на винтах самонарезающих</t>
  </si>
  <si>
    <t>ТСН-2001.3 Доп. 69, Сб. 11, т. 29, поз. 3</t>
  </si>
  <si>
    <t>ТСН-2001.3-11. 11-29-3 (доп. 46)</t>
  </si>
  <si>
    <t>ТСН-2001.3-11-20</t>
  </si>
  <si>
    <t>36,1</t>
  </si>
  <si>
    <t>1.1-1-289</t>
  </si>
  <si>
    <t>Плинтус напольный из ПВХ, с кабель-каналом, высота от 55 до 62 мм, толщина от 22 до 25 мм</t>
  </si>
  <si>
    <t>ТСН-2001.1 Доп. 67, Р. 1, о. 1, поз. 289</t>
  </si>
  <si>
    <t>37</t>
  </si>
  <si>
    <t>3.11-39-1</t>
  </si>
  <si>
    <t>Укладка металлической накладной полосы (порожка)</t>
  </si>
  <si>
    <t>ТСН-2001.3 Доп. 71, Сб. 11, т. 39, поз. 1</t>
  </si>
  <si>
    <t>ТСН-2001.3-11. 11-39 (доп. 11)</t>
  </si>
  <si>
    <t>ТСН-2001.3-11-7</t>
  </si>
  <si>
    <t>37,1</t>
  </si>
  <si>
    <t>1.7-12-44</t>
  </si>
  <si>
    <t>Порог одноуровневый, алюминиевый, тип крепления открытый, с элементами крепежа, ширина 30 мм, высота 2,6 мм</t>
  </si>
  <si>
    <t>ТСН-2001.1 Доп. 46, Р. 7, о. 12, поз. 44</t>
  </si>
  <si>
    <t>Двери</t>
  </si>
  <si>
    <t>38</t>
  </si>
  <si>
    <t>3.9-74-1</t>
  </si>
  <si>
    <t>Установка противопожарных металлических однопольных дверных блоков (Демонтаж)</t>
  </si>
  <si>
    <t>10 шт.</t>
  </si>
  <si>
    <t>ТСН-2001.3 Доп. 68, Сб. 9, т. 74, поз. 1</t>
  </si>
  <si>
    <t>ТСН-2001.3-9. 9-74 (доп. 22)</t>
  </si>
  <si>
    <t>ТСН-2001.3-9-3</t>
  </si>
  <si>
    <t>39</t>
  </si>
  <si>
    <t>Установка противопожарных металлических однопольных дверных блоков</t>
  </si>
  <si>
    <t>39,1</t>
  </si>
  <si>
    <t>1.7-2-265</t>
  </si>
  <si>
    <t>Блок дверной металлический противопожарный, с заполнением минеральной ватой, окрашенный порошковой краской, однопольный, габаритные размеры 1000х2050 мм, с замком и ручками</t>
  </si>
  <si>
    <t>шт.</t>
  </si>
  <si>
    <t>ТСН-2001.1 Доп. 67, Р. 7, о. 2, поз. 265</t>
  </si>
  <si>
    <t>40</t>
  </si>
  <si>
    <t>3.10-82-1</t>
  </si>
  <si>
    <t>Установка дверного доводчика к металлическим дверям</t>
  </si>
  <si>
    <t>1  ШТ.</t>
  </si>
  <si>
    <t>ТСН-2001.3 Доп. 68, Сб. 10, т. 82, поз. 1</t>
  </si>
  <si>
    <t>ТСН-2001.3-10. 10-82</t>
  </si>
  <si>
    <t>ТСН-2001.3-10-7</t>
  </si>
  <si>
    <t>40,1</t>
  </si>
  <si>
    <t>1.8-1-73</t>
  </si>
  <si>
    <t>Доводчик дверной, гидравлический, масса двери до 80 кг</t>
  </si>
  <si>
    <t>ТСН-2001.1 Доп. 70, Р. 8, о. 1, поз. 73</t>
  </si>
  <si>
    <t>41</t>
  </si>
  <si>
    <t>6.61-7-1</t>
  </si>
  <si>
    <t>Ремонт штукатурки откосов внутри здания по камню и бетону цементно-известковым раствором прямолинейных поверхностей</t>
  </si>
  <si>
    <t>ТСН-2001.6. Доп. 1-42. Сб. 61, т. 7, поз. 1</t>
  </si>
  <si>
    <t>ТСН-2001.6-61. 61-1...61-9</t>
  </si>
  <si>
    <t>ТСН-2001.6-61-1</t>
  </si>
  <si>
    <t>41,1</t>
  </si>
  <si>
    <t>42</t>
  </si>
  <si>
    <t>42,1</t>
  </si>
  <si>
    <t>42,2</t>
  </si>
  <si>
    <t>Окна</t>
  </si>
  <si>
    <t>43</t>
  </si>
  <si>
    <t>6.56-38-1</t>
  </si>
  <si>
    <t>Разборка деревянных заполнений проемов оконных с подоконными досками</t>
  </si>
  <si>
    <t>ТСН-2001.6. Доп. 1-42. Сб. 56, т. 38, поз. 1</t>
  </si>
  <si>
    <t>ТСН-2001.6-56. 56-38</t>
  </si>
  <si>
    <t>ТСН-2001.6-56-10</t>
  </si>
  <si>
    <t>44</t>
  </si>
  <si>
    <t>3.10-84-3</t>
  </si>
  <si>
    <t>Установка в жилых и общественных зданиях оконных блоков из ПВХ-профилей, поворотные (откидные, поворотно-откидные) одностворчатые площадь проема до 2 м2</t>
  </si>
  <si>
    <t>ТСН-2001.3 Доп. 68, Сб. 10, т. 84, поз. 3</t>
  </si>
  <si>
    <t>ТСН-2001.3-10. 10-83…10-85 (доп. 4)</t>
  </si>
  <si>
    <t>ТСН-2001.3-10-8</t>
  </si>
  <si>
    <t>44,1</t>
  </si>
  <si>
    <t>1.1-1-2980</t>
  </si>
  <si>
    <t>ТСН-2001.1 Доп. 55, Р. 1, о. 1, поз. 2980</t>
  </si>
  <si>
    <t>44,2</t>
  </si>
  <si>
    <t>1.1-1-2469</t>
  </si>
  <si>
    <t>ТСН-2001.1 Доп. 55, Р. 1, о. 1, поз. 2469</t>
  </si>
  <si>
    <t>44,3</t>
  </si>
  <si>
    <t>1.9-1-235</t>
  </si>
  <si>
    <t>Блок оконный из ПВХ профиля 5-камерного сечения, распашной, с двухкамерным стеклопакетом, с двумя энергосберегающими стеклами, с комплектом фурнитуры, типа ОП ОСПДх-х</t>
  </si>
  <si>
    <t>ТСН-2001.1 Доп. 67, Р. 9, о. 1, поз. 235</t>
  </si>
  <si>
    <t>44,4</t>
  </si>
  <si>
    <t>1.1-1-2983</t>
  </si>
  <si>
    <t>Лента предварительносжатая, саморасширяющаяся, уплотнительная, типа ПСУЛ 10/3</t>
  </si>
  <si>
    <t>ТСН-2001.1 Доп. 67, Р. 1, о. 1, поз. 2983</t>
  </si>
  <si>
    <t>45</t>
  </si>
  <si>
    <t>3.10-85-3</t>
  </si>
  <si>
    <t>Установка подоконных досок из ПВХ в панельных стенах</t>
  </si>
  <si>
    <t>ТСН-2001.3 Доп. 68, Сб. 10, т. 85, поз. 3</t>
  </si>
  <si>
    <t>45,1</t>
  </si>
  <si>
    <t>1.9-12-115</t>
  </si>
  <si>
    <t>Доска подоконная из ПВХ, ламинированная декоративными ПВХ пленками, цвет: белый, мрамор, размеры 20х400х6000 мм</t>
  </si>
  <si>
    <t>ТСН-2001.1 Доп. 67, Р. 9, о. 12, поз. 115</t>
  </si>
  <si>
    <t>45,2</t>
  </si>
  <si>
    <t>1.9-12-112</t>
  </si>
  <si>
    <t>Заглушка торцевая двусторонняя к подоконной доске из ПВХ, цвет: белый, мрамор, размеры 40х480 мм</t>
  </si>
  <si>
    <t>ТСН-2001.1 Доп. 67, Р. 9, о. 12, поз. 112</t>
  </si>
  <si>
    <t>46</t>
  </si>
  <si>
    <t>46,1</t>
  </si>
  <si>
    <t>47</t>
  </si>
  <si>
    <t>47,1</t>
  </si>
  <si>
    <t>1.1-1-3552</t>
  </si>
  <si>
    <t>Грунтовка акриловая концентрированная универсальная с высокой клеевой и проникающей способностью</t>
  </si>
  <si>
    <t>ТСН-2001.1. Доп. 1-42. Р. 1, о. 1, поз. 3552</t>
  </si>
  <si>
    <t>47,2</t>
  </si>
  <si>
    <t>Вывоз мусора</t>
  </si>
  <si>
    <t>48</t>
  </si>
  <si>
    <t>6.68-13-1</t>
  </si>
  <si>
    <t>Механизированная погрузка строительного мусора в автомобили-самосвалы</t>
  </si>
  <si>
    <t>ТСН-2001.6. Доп. 1-42. Сб. 68, т. 13, поз. 1</t>
  </si>
  <si>
    <t>ТСН-2001.6-68. 68-13</t>
  </si>
  <si>
    <t>ТСН-2001.6-68-5</t>
  </si>
  <si>
    <t>49</t>
  </si>
  <si>
    <t>15.2-42-10</t>
  </si>
  <si>
    <t>Перевозка строительного мусора на расстояние до 42 км автосамосвалами грузоподъемностью до 10 т</t>
  </si>
  <si>
    <t>ТСН-2001.15 Доп. 68, Сб. 2, т. 42, поз. 10</t>
  </si>
  <si>
    <t>Транспортные затраты</t>
  </si>
  <si>
    <t>ТСН-2001.15-1. Перевозка строительного мусора</t>
  </si>
  <si>
    <t>ТСН-2001.15-1-5</t>
  </si>
  <si>
    <t>50</t>
  </si>
  <si>
    <t>15.1-1500-01</t>
  </si>
  <si>
    <t>Отходы (мусор) от строительных и ремонтных работ малоопасные</t>
  </si>
  <si>
    <t>ТСН-2001.15 Доп. 56, Сб. 1, т. 1500, поз. 1</t>
  </si>
  <si>
    <t>и</t>
  </si>
  <si>
    <t>Итого</t>
  </si>
  <si>
    <t>ндс</t>
  </si>
  <si>
    <t>НДС 20%</t>
  </si>
  <si>
    <t>в</t>
  </si>
  <si>
    <t>и1</t>
  </si>
  <si>
    <t>и2</t>
  </si>
  <si>
    <t>и3</t>
  </si>
  <si>
    <t>Уровень цен</t>
  </si>
  <si>
    <t>Сборник индексов</t>
  </si>
  <si>
    <t>Коэффициенты к ТСН-2001 МГЭ, ремонт</t>
  </si>
  <si>
    <t>209</t>
  </si>
  <si>
    <t>Коэффициенты пересчета к ТСН-2001.13-2</t>
  </si>
  <si>
    <t>_OBSM_</t>
  </si>
  <si>
    <t>9999990008</t>
  </si>
  <si>
    <t>Трудозатраты рабочих</t>
  </si>
  <si>
    <t>чел.-ч.</t>
  </si>
  <si>
    <t>9999990007</t>
  </si>
  <si>
    <t>Стоимость прочих машин (ЭСН)</t>
  </si>
  <si>
    <t>руб.</t>
  </si>
  <si>
    <t>2.1-30-56</t>
  </si>
  <si>
    <t>ТСН-2001.2. Доп. 68. п.1-30-56 (309101)</t>
  </si>
  <si>
    <t>Шуруповерты</t>
  </si>
  <si>
    <t>маш.-ч</t>
  </si>
  <si>
    <t>9999990001</t>
  </si>
  <si>
    <t>Масса мусора</t>
  </si>
  <si>
    <t>2.1-18-7</t>
  </si>
  <si>
    <t>ТСН-2001.2. Доп. 68. п.1-18-7 (183001)</t>
  </si>
  <si>
    <t>Автомобили грузовые бортовые, грузоподъемность до 5 т</t>
  </si>
  <si>
    <t>2.1-6-61</t>
  </si>
  <si>
    <t>ТСН-2001.2. Доп. 68. п.1-6-61 (067601)</t>
  </si>
  <si>
    <t>Миксеры ручные, мощность 1,6 кВт</t>
  </si>
  <si>
    <t>1.1-1-115</t>
  </si>
  <si>
    <t>ТСН-2001.1. Доп. 1-42. Р. 1, о. 1, поз. 115</t>
  </si>
  <si>
    <t>Ветошь</t>
  </si>
  <si>
    <t>1.1-1-1463</t>
  </si>
  <si>
    <t>ТСН-2001.1 Доп. 67, Р. 1, о. 1, поз. 1463</t>
  </si>
  <si>
    <t>Бумага наждачная шлифовальная</t>
  </si>
  <si>
    <t>1.1-1-1478</t>
  </si>
  <si>
    <t>ТСН-2001.1. Доп. 1-42. Р. 1, о. 1, поз. 1478</t>
  </si>
  <si>
    <t>Шпатлевка водно-дисперсионная акриловая</t>
  </si>
  <si>
    <t>2.1-3-38</t>
  </si>
  <si>
    <t>ТСН-2001.2. Доп. 68. п.1-3-38 (032009)</t>
  </si>
  <si>
    <t>Краны на автомобильном ходу, грузоподъемность до 16 т</t>
  </si>
  <si>
    <t>2.1-4-98</t>
  </si>
  <si>
    <t>ТСН-2001.2. Доп. 68. п.1-4-98 (042931)</t>
  </si>
  <si>
    <t>Лебедки электрические, тяговое усилие до 31,39 кН (3,2 тс)</t>
  </si>
  <si>
    <t>1.1-1-1566</t>
  </si>
  <si>
    <t>ТСН-2001.1 Доп. 67, Р. 1, о. 1, поз. 1566</t>
  </si>
  <si>
    <t>Электроды, типа Э-42, Э-46, Э-50, диаметр от 4 до 6 мм</t>
  </si>
  <si>
    <t>1.6-1-273</t>
  </si>
  <si>
    <t>ТСН-2001.1 Доп. 67, Р. 6, о. 1, поз. 273</t>
  </si>
  <si>
    <t>Элементы отдельные конструктивные с преобладанием горячекатаных профилей, средняя масса сборочной единицы от 1,01 до 3,0 т</t>
  </si>
  <si>
    <t>1.1-1-57</t>
  </si>
  <si>
    <t>ТСН-2001.1 Доп. 67, Р. 1, о. 1, поз. 57</t>
  </si>
  <si>
    <t>Болты строительные с гайками и шайбами, черные, М10х100 мм</t>
  </si>
  <si>
    <t>9999990006</t>
  </si>
  <si>
    <t>Стоимость прочих материалов (ЭСН)</t>
  </si>
  <si>
    <t>2.1-30-103</t>
  </si>
  <si>
    <t>ТСН-2001.2. Доп. 68. п.1-30-103 (304104)</t>
  </si>
  <si>
    <t>Перфораторы, мощность до 1,2 кВт</t>
  </si>
  <si>
    <t>2.1-30-31</t>
  </si>
  <si>
    <t>ТСН-2001.2. Доп. 68. п.1-30-31 (306501)</t>
  </si>
  <si>
    <t>Ножницы электрические</t>
  </si>
  <si>
    <t>1.1-1-3383</t>
  </si>
  <si>
    <t>ТСН-2001.1. Доп. 1-42. Р. 1, о. 1, поз. 3383</t>
  </si>
  <si>
    <t>Дюбель-гвоздь стальной, диаметр 6 мм, длина 40 мм</t>
  </si>
  <si>
    <t>1.1-1-3717</t>
  </si>
  <si>
    <t>ТСН-2001.1. Доп. 1-42. Р. 1, о. 1, поз. 3717</t>
  </si>
  <si>
    <t>Лента бумажная для армирования шпатлевочного шва при заделке стыков, ширина 50 мм</t>
  </si>
  <si>
    <t>1.1-1-3718</t>
  </si>
  <si>
    <t>ТСН-2001.1 Доп. 67, Р. 1, о. 1, поз. 3718</t>
  </si>
  <si>
    <t>Лента полимерная, разделительная, самоклеящаяся, для устройства скользящего примыкания края обшивки из гипсокартонных листов к ограждающим конструкциям, ширина 65 мм</t>
  </si>
  <si>
    <t>1.1-1-3722</t>
  </si>
  <si>
    <t>ТСН-2001.1 Доп. 70, Р. 1, о. 1, поз. 3722</t>
  </si>
  <si>
    <t>Шуруп-саморез прокалывающий, типа "Клоп", диаметр 3,5 мм, длина 9,5 мм</t>
  </si>
  <si>
    <t>1.1-1-3723</t>
  </si>
  <si>
    <t>ТСН-2001.1 Доп. 67, Р. 1, о. 1, поз. 3723</t>
  </si>
  <si>
    <t>Шуруп-саморез прокалывающий с головкой специальной формы, диаметр 3,5 мм, длина 25 мм</t>
  </si>
  <si>
    <t>1.1-1-3726</t>
  </si>
  <si>
    <t>ТСН-2001.1 Доп. 67, Р. 1, о. 1, поз. 3726</t>
  </si>
  <si>
    <t>Дюбель пластиковый, с бортиком, со стальным шурупом, диаметр 6 мм, длина 35 мм, типа "К"</t>
  </si>
  <si>
    <t>1.3-2-201</t>
  </si>
  <si>
    <t>ТСН-2001.1 Доп. 70, Р. 3, о. 2, поз. 201</t>
  </si>
  <si>
    <t>Смесь сухая, тонкодисперсная, гипсовая с полимерными добавками, шпатлевочная, для внутренних работ, ручного нанесения, прочность на сжатие 5,2 Мпа, прочность на изгиб 2,7 МПа, для заделки стыков гипсоволокнистых или гипсокартонных листов</t>
  </si>
  <si>
    <t>1.3-2-49</t>
  </si>
  <si>
    <t>ТСН-2001.1 Доп. 70, Р. 3, о. 2, поз. 49</t>
  </si>
  <si>
    <t>Смесь сухая, тонкодисперсная, гипсовая, с полимерными добавками, шпатлевочная, для внутренних работ, ручного нанесения, прочность на сжатие не менее 2 МПа, прочность на изгиб не менее 1 МПа, для приклеивания гипсокартонных листов, заделки стыков, поврежде</t>
  </si>
  <si>
    <t>1.7-4-26</t>
  </si>
  <si>
    <t>ТСН-2001.1 Доп. 67, Р. 7, о. 4, поз. 26</t>
  </si>
  <si>
    <t>Профиль потолочный направляющий П-образный, стальной оцинкованный, для использования в качестве стартового профиля при монтаже каркаса подвесных гипсокартонных потолков и облицовки, типа ПН, сечение 28х27х0,6 мм</t>
  </si>
  <si>
    <t>1.7-4-30</t>
  </si>
  <si>
    <t>ТСН-2001.1 Доп. 67, Р. 7, о. 4, поз. 30</t>
  </si>
  <si>
    <t>Профиль потолочный С-образный, стальной оцинкованный, для устройства подвесных гипсокартонных потолков и облицовок, типа ПП, сечение 60х27х0,6 мм</t>
  </si>
  <si>
    <t>1.7-4-35</t>
  </si>
  <si>
    <t>ТСН-2001.1 Доп. 67, Р. 7, о. 4, поз. 35</t>
  </si>
  <si>
    <t>Подвес анкерный с зажимом, стальной оцинкованный, для монтажа потолочных ПП-профилей сечением 60х27 мм, при устройстве каркасов подвесных гипсокартонных потолков и облицовок</t>
  </si>
  <si>
    <t>1.7-4-36</t>
  </si>
  <si>
    <t>ТСН-2001.1 Доп. 67, Р. 7, о. 4, поз. 36</t>
  </si>
  <si>
    <t>Соединитель одноуровневый, стальной оцинкованный, для монтажа потолочных ПП-профилей сечением 60х27 мм, при устройстве каркасов подвесных гипсокартонных потолков и облицовок</t>
  </si>
  <si>
    <t>1.7-4-46</t>
  </si>
  <si>
    <t>ТСН-2001.1 Доп. 67, Р. 7, о. 4, поз. 46</t>
  </si>
  <si>
    <t>Удлинитель стальной оцинкованный, для соединения/удлинения потолочных ПП-профилей сечением 60х27 мм, при устройстве каркасов подвесных гипсокартонных потолков и облицовок</t>
  </si>
  <si>
    <t>1.1-1-3257</t>
  </si>
  <si>
    <t>ТСН-2001.1. Доп. 1-42. Р. 1, о. 1, поз. 3257</t>
  </si>
  <si>
    <t>Грунтовка водно-дисперсионная высококонцентрированная глубокопроникающая универсальная</t>
  </si>
  <si>
    <t>1.1-1-3716</t>
  </si>
  <si>
    <t>ТСН-2001.1 Доп. 67, Р. 1, о. 1, поз. 3716</t>
  </si>
  <si>
    <t>Герметик акриловый, пластоэластичный, безусадочный, УФ-стойкий, для наружных и внутренних работ, температура эксплуатации от -20 до +80°С, в пластиковом картридже 300 мл, для заполнения трещин и герметизации швов, подверженных слабым деформациям, белый</t>
  </si>
  <si>
    <t>1.1-1-3724</t>
  </si>
  <si>
    <t>ТСН-2001.1 Доп. 67, Р. 1, о. 1, поз. 3724</t>
  </si>
  <si>
    <t>Шуруп-саморез прокалывающий с головкой специальной формы, диаметр 3,5 мм, длина 35 мм</t>
  </si>
  <si>
    <t>1.3-2-202</t>
  </si>
  <si>
    <t>ТСН-2001.1 Доп. 70, Р. 3, о. 2, поз. 202</t>
  </si>
  <si>
    <t>Смесь сухая для наружных работ мелкозернистая, гипсовая, клеевая, для приклеивания ГКЛ и минераловатных плит, ручного нанесения, прочность на сжатие 2,0 МПа, прочность сцепления с основанием 0,3 МПа, прочность на изгиб 1,0 МПа</t>
  </si>
  <si>
    <t>1.7-4-24</t>
  </si>
  <si>
    <t>ТСН-2001.1 Доп. 67, Р. 7, о. 4, поз. 24</t>
  </si>
  <si>
    <t>Профиль угловой, стальной оцинкованный, защитный, перфорированный, для устройства гипсокартонных перегородок и подвесных потолков, типа ПУ, сечение 31х31х0,4 мм</t>
  </si>
  <si>
    <t>2.1-6-33</t>
  </si>
  <si>
    <t>ТСН-2001.2. Доп. 68. п.1-6-33 (067501)</t>
  </si>
  <si>
    <t>Растворонасосы, производительность до 1 м3/ч</t>
  </si>
  <si>
    <t>1.1-1-1029</t>
  </si>
  <si>
    <t>ТСН-2001.1 Доп. 67, Р. 1, о. 1, поз. 1029</t>
  </si>
  <si>
    <t>Сетка проволочная штукатурная тканая, ячейка 5х5 мм, толщина 1,6 мм</t>
  </si>
  <si>
    <t>1.1-1-385</t>
  </si>
  <si>
    <t>ТСН-2001.1 Доп. 53, Р. 1, о. 1, поз. 385</t>
  </si>
  <si>
    <t>Клей акриловый, готовый, для наклейки стеклотканевых, флизелиновых, текстильных, виниловых и других тяжелых обоев</t>
  </si>
  <si>
    <t>2.1-4-32</t>
  </si>
  <si>
    <t>ТСН-2001.2. Доп. 68. п.1-4-32 (042904)</t>
  </si>
  <si>
    <t>Лебедки электрические, тяговое усилие до 19,62 кН (2 тc)</t>
  </si>
  <si>
    <t>2.1-10-4</t>
  </si>
  <si>
    <t>ТСН-2001.2. Доп. 68. п.1-10-4 (101001)</t>
  </si>
  <si>
    <t>Компрессоры передвижные с двигателем внутреннего сгорания, давление до 7 ат, производительность до 2,5 м3/мин</t>
  </si>
  <si>
    <t>2.1-30-54</t>
  </si>
  <si>
    <t>ТСН-2001.2. Доп. 68. п.1-30-54 (308901)</t>
  </si>
  <si>
    <t>Молотки отбойные пневматические</t>
  </si>
  <si>
    <t>2.1-6-24</t>
  </si>
  <si>
    <t>ТСН-2001.2. Доп. 68. п.1-6-24 (067101)</t>
  </si>
  <si>
    <t>Растворосмесители передвижные, емкость до 65 л</t>
  </si>
  <si>
    <t>2.1-6-51</t>
  </si>
  <si>
    <t>ТСН-2001.2. Доп. 68. п.1-6-51 (069401)</t>
  </si>
  <si>
    <t>Вибраторы поверхностные</t>
  </si>
  <si>
    <t>1.1-1-962</t>
  </si>
  <si>
    <t>ТСН-2001.1. Доп. 1-42. Р. 1, о. 1, поз. 962</t>
  </si>
  <si>
    <t>Проволока стальная низкоуглеродистая общего назначения, диаметр 1,1 мм</t>
  </si>
  <si>
    <t>2.1-30-102</t>
  </si>
  <si>
    <t>ТСН-2001.2. Доп. 68. п.1-30-102 (303704)</t>
  </si>
  <si>
    <t>Дрели, мощность до 800 Вт</t>
  </si>
  <si>
    <t>2.1-30-35</t>
  </si>
  <si>
    <t>ТСН-2001.2. Доп. 68. п.1-30-35 (306901)</t>
  </si>
  <si>
    <t>Станки камнерезные, диаметр диска до 250 мм</t>
  </si>
  <si>
    <t>1.1-1-2480</t>
  </si>
  <si>
    <t>ТСН-2001.1 Доп. 55, Р. 1, о. 1, поз. 2480</t>
  </si>
  <si>
    <t>Грунтовка на основе полимерной дисперсии, концентрированная, паропроницаемая, с желтым пигментом, для впитывающих оснований</t>
  </si>
  <si>
    <t>2.1-14-13</t>
  </si>
  <si>
    <t>ТСН-2001.2. Доп. 68. п.1-14-13 (148501)</t>
  </si>
  <si>
    <t>Пылесосы строительные (промышленные)</t>
  </si>
  <si>
    <t>2.1-4-8</t>
  </si>
  <si>
    <t>ТСН-2001.2. Доп. 68. п.1-4-8 (040201)</t>
  </si>
  <si>
    <t>Автопогрузчики вилочные, грузоподъемность до 1 т</t>
  </si>
  <si>
    <t>1.1-1-2492</t>
  </si>
  <si>
    <t>ТСН-2001.1. Доп. 1-42. Р. 1, о. 1, поз. 2492</t>
  </si>
  <si>
    <t>Пленка полиэтиленовая, толщина 80 мкм</t>
  </si>
  <si>
    <t>2.1-17-156</t>
  </si>
  <si>
    <t>ТСН-2001.2. Доп. 68. п.1-17-156 (266001)</t>
  </si>
  <si>
    <t>Фены строительные, мощность до 2 кВт</t>
  </si>
  <si>
    <t>2.1-30-23</t>
  </si>
  <si>
    <t>ТСН-2001.2. Доп. 68. п.1-30-23 (305801)</t>
  </si>
  <si>
    <t>Фрезы для разделки швов рулонных материалов, мощность до 1,1 кВт</t>
  </si>
  <si>
    <t>1.1-1-3264</t>
  </si>
  <si>
    <t>ТСН-2001.1. Доп. 1-42. Р. 1, о. 1, поз. 3264</t>
  </si>
  <si>
    <t>Шнур для сварки швов поливинилхлоридного линолеума</t>
  </si>
  <si>
    <t>2.1-30-27</t>
  </si>
  <si>
    <t>ТСН-2001.2. Доп. 68. п.1-30-27 (306101)</t>
  </si>
  <si>
    <t>Пилы дисковые электрические</t>
  </si>
  <si>
    <t>1.1-1-2468</t>
  </si>
  <si>
    <t>ТСН-2001.1 Доп. 67, Р. 1, о. 1, поз. 2468</t>
  </si>
  <si>
    <t>Материал рулонный, из несшитого пенополиэтилена, газонаполненный, неокрашенный, толщина 2 мм</t>
  </si>
  <si>
    <t>1.1-1-3673</t>
  </si>
  <si>
    <t>ТСН-2001.1 Доп. 67, Р. 1, о. 1, поз. 3673</t>
  </si>
  <si>
    <t>Винт самонарезающий, оцинкованный, диаметр 4,8 мм, длина 50 мм</t>
  </si>
  <si>
    <t>1.1-1-3693</t>
  </si>
  <si>
    <t>ТСН-2001.1 Доп. 67, Р. 1, о. 1, поз. 3693</t>
  </si>
  <si>
    <t>Дюбель распорный пластмассовый, диаметр 6 мм, длина 40 мм</t>
  </si>
  <si>
    <t>1.1-1-116</t>
  </si>
  <si>
    <t>ТСН-2001.1 Доп. 70, Р. 1, о. 1, поз. 116</t>
  </si>
  <si>
    <t>Винты самонарезающие, оцинкованные, с потайной головкой, двухзаходная резьба, длина 25 мм</t>
  </si>
  <si>
    <t>1.1-1-2470</t>
  </si>
  <si>
    <t>ТСН-2001.1 Доп. 67, Р. 1, о. 1, поз. 2470</t>
  </si>
  <si>
    <t>Герметик акриловый, пластоэластичный, для наружных работ, диапазон температур эксплуатации от -20 до +75°С, предел прочности при растяжении не менее 0,5 МПа, для уплотнения соединений между строительными конструкциями</t>
  </si>
  <si>
    <t>1.1-1-3571</t>
  </si>
  <si>
    <t>ТСН-2001.1. Доп. 1-42. Р. 1, о. 1, поз. 3571</t>
  </si>
  <si>
    <t>Пена монтажная противопожарная, обеспечивающая акустическую и термическую изоляцию, предел огнестойкости ЕI 60</t>
  </si>
  <si>
    <t>1.1-1-79</t>
  </si>
  <si>
    <t>ТСН-2001.1 Доп. 67, Р. 1, о. 1, поз. 79</t>
  </si>
  <si>
    <t>Пиломатериал (брусок) обрезной хвойных пород естественной влажности, сорт III, толщина 50 мм, ширина 50 мм</t>
  </si>
  <si>
    <t>1.7-3-122</t>
  </si>
  <si>
    <t>ТСН-2001.1 Доп. 44, Р. 7, о. 3, поз. 122</t>
  </si>
  <si>
    <t>Бур с наконечником из твердого сплава, с хвостовиком SDS-plus, диаметр 10 мм, длина 260 мм</t>
  </si>
  <si>
    <t>1.7-5-155</t>
  </si>
  <si>
    <t>ТСН-2001.1 Доп. 48, Р. 7, о. 5, поз. 155</t>
  </si>
  <si>
    <t>Анкер-шпилька распорный, высокоэффективный, с шестигранной гайкой и шайбой, из оцинкованной стали, для использования в бетоне с трещинами, диаметр 10 мм, длина 110 мм, толщина прикрепляемой детали минимальная/максимальная 30/50 мм</t>
  </si>
  <si>
    <t>2.1-13-14</t>
  </si>
  <si>
    <t>ТСН-2001.2. Доп. 68. п.1-13-14 (136001)</t>
  </si>
  <si>
    <t>Аппараты сварочные постоянного тока (выпрямители) для ручной дуговой сварки, сварочный ток до 500 А</t>
  </si>
  <si>
    <t>2.1-30-19</t>
  </si>
  <si>
    <t>ТСН-2001.2. Доп. 68. п.1-30-19 (305001)</t>
  </si>
  <si>
    <t>Машины шлифовальные электрические, мощность до 1700 Вт</t>
  </si>
  <si>
    <t>1.1-1-2627</t>
  </si>
  <si>
    <t>ТСН-2001.1 Доп. 70, Р. 1, о. 1, поз. 2627</t>
  </si>
  <si>
    <t>Винты самонарезающие, для металла, диаметр 5 мм, длина 40 мм</t>
  </si>
  <si>
    <t>2.1-30-10</t>
  </si>
  <si>
    <t>ТСН-2001.2. Доп. 68. п.1-30-10 (304101)</t>
  </si>
  <si>
    <t>Перфораторы, мощность до 800 Вт</t>
  </si>
  <si>
    <t>1.1-1-2471</t>
  </si>
  <si>
    <t>ТСН-2001.1 Доп. 67, Р. 1, о. 1, поз. 2471</t>
  </si>
  <si>
    <t>Дюбель рамный, металлический, диаметр 10 мм, длина 182 мм</t>
  </si>
  <si>
    <t>1.1-1-760</t>
  </si>
  <si>
    <t>ТСН-2001.1. Доп. 1-42. Р. 1, о. 1, поз. 760</t>
  </si>
  <si>
    <t>Пена монтажная</t>
  </si>
  <si>
    <t>2245214000</t>
  </si>
  <si>
    <t>Ленты полимерные микропористые уплотнительные самоклеющаяся, типа "Дихтунгсбанд"</t>
  </si>
  <si>
    <t>5285351000</t>
  </si>
  <si>
    <t>Тяги подвесов из оцинкованной стали для монтажа подвесных потолков</t>
  </si>
  <si>
    <t>5742130000</t>
  </si>
  <si>
    <t>Листы гипсокартонные (ГКЛ, ГКЛВ, ГКЛО, ГКЛВО)</t>
  </si>
  <si>
    <t>2313332000</t>
  </si>
  <si>
    <t>Грунтовка глубокого проникновения</t>
  </si>
  <si>
    <t>0131000000</t>
  </si>
  <si>
    <t>5745120000</t>
  </si>
  <si>
    <t>Смеси сухие для штукатурных работ</t>
  </si>
  <si>
    <t>5745520000</t>
  </si>
  <si>
    <t>Растворы тяжелые цементно-известковые, марки 75</t>
  </si>
  <si>
    <t>2316322000</t>
  </si>
  <si>
    <t>Краска латексная на дисперсионной основе для внутренних работ</t>
  </si>
  <si>
    <t>5271610000</t>
  </si>
  <si>
    <t>Алюминиевые конструкции подвесных потолков реечного типа</t>
  </si>
  <si>
    <t>1.1-1-1501</t>
  </si>
  <si>
    <t>ТСН-2001.1 Доп. 67, Р. 1, о. 1, поз. 1501</t>
  </si>
  <si>
    <t>Шурупы с потайной головкой, черные, диаметр 5 мм, длина 70 мм</t>
  </si>
  <si>
    <t>5262120000</t>
  </si>
  <si>
    <t>Комплектующие к подвесных потолкам типа "армстронг"</t>
  </si>
  <si>
    <t>5767710000</t>
  </si>
  <si>
    <t>Плиты декоративно-акустические</t>
  </si>
  <si>
    <t>2312940000</t>
  </si>
  <si>
    <t>Шпатлевка универсальная</t>
  </si>
  <si>
    <t>Краска акриловая и латексная на дисперсионной основе для внутренних работ (2316910000)</t>
  </si>
  <si>
    <t>2242320000</t>
  </si>
  <si>
    <t>Клей полимерный универсальный, акриловый</t>
  </si>
  <si>
    <t>5772261000</t>
  </si>
  <si>
    <t>Профили декоративные (карнизы, плинтусы) белого цвета из экструдированного полистирола</t>
  </si>
  <si>
    <t>Лента полимерная микропористая уплотнительная самоклеющаяся, типа "Дихтунгсбанд"</t>
  </si>
  <si>
    <t>5284521000</t>
  </si>
  <si>
    <t>Профили стоечные ПС (50, 75, 100)</t>
  </si>
  <si>
    <t>Профили направляющие ПН (50, 75, 100)</t>
  </si>
  <si>
    <t>5762900000</t>
  </si>
  <si>
    <t>Материал теплоизоляционный из минеральных волокон</t>
  </si>
  <si>
    <t>Профили стоечные ПС</t>
  </si>
  <si>
    <t>1.1-1-132</t>
  </si>
  <si>
    <t>ТСН-2001.1. Доп. 1-42. Р. 1, о. 1, поз. 132</t>
  </si>
  <si>
    <t>Гвозди строительные</t>
  </si>
  <si>
    <t>1.1-1-146</t>
  </si>
  <si>
    <t>ТСН-2001.1 Доп. 67, Р. 1, о. 1, поз. 146</t>
  </si>
  <si>
    <t>Гипс строительный</t>
  </si>
  <si>
    <t>2.1-4-102</t>
  </si>
  <si>
    <t>ТСН-2001.2. Доп. 68. п.1-4-102 (040104)</t>
  </si>
  <si>
    <t>Погрузчики фронтальные одноковшовые, грузоподъемность до 5 т</t>
  </si>
  <si>
    <t>1.1-1-181</t>
  </si>
  <si>
    <t>ТСН-2001.1 Доп. 67, Р. 1, о. 1, поз. 181</t>
  </si>
  <si>
    <t>Дисперсия поливинилацетатная, гомополимерная, грубодисперсная, пластифицированная, (эмульсия поливинилацетатная), типа ДБ</t>
  </si>
  <si>
    <t>5745150000</t>
  </si>
  <si>
    <t>Смеси сухие декоративные фуговочные</t>
  </si>
  <si>
    <t>5745170000</t>
  </si>
  <si>
    <t>Смеси сухие (клеи) для плиточных работ</t>
  </si>
  <si>
    <t>5752100000</t>
  </si>
  <si>
    <t>Плитки рядовые</t>
  </si>
  <si>
    <t>1.1-1-2003</t>
  </si>
  <si>
    <t>ТСН-2001.1 Доп. 67, Р. 1, о. 1, поз. 2003</t>
  </si>
  <si>
    <t xml:space="preserve">Грунтовка водно-дисперсионная, на основе бутадиен стирольного латекса, укрепляющая, глубокого проникновения, с добавлением фунгицида, биоцида, антивспенивателя и ПАВ, без растворителей, для наружных и внутренних работ, для подготовки оснований из бетона, </t>
  </si>
  <si>
    <t>2388410000</t>
  </si>
  <si>
    <t>Краски водоэмульсионные поливинилацетатные</t>
  </si>
  <si>
    <t>5744430000</t>
  </si>
  <si>
    <t>Смеси сухие шпатлевочные (Ветонит)</t>
  </si>
  <si>
    <t>5959010000</t>
  </si>
  <si>
    <t>Покрытия (обои) из стекловолокнистых тканей</t>
  </si>
  <si>
    <t>Плиты теплоизоляционные минераловатные</t>
  </si>
  <si>
    <t>1.1-1-81</t>
  </si>
  <si>
    <t>ТСН-2001.1 Доп. 67, Р. 1, о. 1, поз. 81</t>
  </si>
  <si>
    <t>Пиломатериал (брусок) обрезной хвойных пород естественной влажности, сорт IV, толщина 50 мм, ширина 50 мм</t>
  </si>
  <si>
    <t>1.1-1-923</t>
  </si>
  <si>
    <t>ТСН-2001.1. Доп. 1-42. Р. 1, о. 1, поз. 923</t>
  </si>
  <si>
    <t>Поковки строительные (скобы, закрепы, хомуты) простые, масса 1,8 кг</t>
  </si>
  <si>
    <t>5741210000</t>
  </si>
  <si>
    <t>Кирпич керамический, силикатный (574124) или пустотелый (574104)</t>
  </si>
  <si>
    <t>Растворы готовые кладочные тяжелые цементно-известковые</t>
  </si>
  <si>
    <t>1.1-1-1328</t>
  </si>
  <si>
    <t>ТСН-2001.1 Доп. 67, Р. 1, о. 1, поз. 1328</t>
  </si>
  <si>
    <t>Цемент общестроительный, портландцемент с минеральными добавками, типа ЦЕМ II/А 32,5</t>
  </si>
  <si>
    <t>1.1-1-236</t>
  </si>
  <si>
    <t>ТСН-2001.1. Доп. 1-42. Р. 1, о. 1, поз. 236</t>
  </si>
  <si>
    <t>Дюбели с насаженными шайбами</t>
  </si>
  <si>
    <t>1.1-1-740</t>
  </si>
  <si>
    <t>ТСН-2001.1. Доп. 1-42. Р. 1, о. 1, поз. 740</t>
  </si>
  <si>
    <t>Пакля пропитанная</t>
  </si>
  <si>
    <t>5745180000</t>
  </si>
  <si>
    <t>Смеси сухие для гидроизоляционных работ</t>
  </si>
  <si>
    <t>5745510000</t>
  </si>
  <si>
    <t>Растворы готовые кладочные тяжелые цементные, марки 150</t>
  </si>
  <si>
    <t>0930110000</t>
  </si>
  <si>
    <t>Арматура</t>
  </si>
  <si>
    <t>2.1-4-12</t>
  </si>
  <si>
    <t>ТСН-2001.2. Доп. 68. п.1-4-12 (040205)</t>
  </si>
  <si>
    <t>Автопогрузчики вилочные, грузоподъемность до 5 т</t>
  </si>
  <si>
    <t>Смеси сухие для затирки швов</t>
  </si>
  <si>
    <t>Смеси сухие клеевые для плиточных работ</t>
  </si>
  <si>
    <t>5752421000</t>
  </si>
  <si>
    <t>Плитки керамические типа "керамогранит"</t>
  </si>
  <si>
    <t>Смесь сухая для затирки швов</t>
  </si>
  <si>
    <t>Смесь сухая клеевая для укладки керамических плиток</t>
  </si>
  <si>
    <t>5752420000</t>
  </si>
  <si>
    <t>Плитка керамическая, типа "керамогранит"</t>
  </si>
  <si>
    <t>2316215000</t>
  </si>
  <si>
    <t>Грунтовка</t>
  </si>
  <si>
    <t>5745130000</t>
  </si>
  <si>
    <t>Смеси сухие самовыравнивающиеся</t>
  </si>
  <si>
    <t>Клей для укладки поливинилхлоридных покрытий</t>
  </si>
  <si>
    <t>5771110000</t>
  </si>
  <si>
    <t>Линолеум поливинилхлоридный высокой износостойкости</t>
  </si>
  <si>
    <t>5361850000</t>
  </si>
  <si>
    <t>Паркет ламинированный</t>
  </si>
  <si>
    <t>5772003000</t>
  </si>
  <si>
    <t>Фурнитура из ПВХ</t>
  </si>
  <si>
    <t>5772112000</t>
  </si>
  <si>
    <t>Плинтусы ПВХ</t>
  </si>
  <si>
    <t>5275220000</t>
  </si>
  <si>
    <t>Планка накладная (профиль СПА)</t>
  </si>
  <si>
    <t>5262178000</t>
  </si>
  <si>
    <t>Блоки дверные металлические противопожарные</t>
  </si>
  <si>
    <t>4985110000</t>
  </si>
  <si>
    <t>Доводчик дверной (4987110000)</t>
  </si>
  <si>
    <t>Раствор цементно-известковый, марки 75</t>
  </si>
  <si>
    <t>2245291000</t>
  </si>
  <si>
    <t>Лента бутиловая для внутренней пароизоляции</t>
  </si>
  <si>
    <t>Лента бутиловая диффузионная</t>
  </si>
  <si>
    <t>2291380000</t>
  </si>
  <si>
    <t>Блоки оконные из ПВХ профилей</t>
  </si>
  <si>
    <t>5775520000</t>
  </si>
  <si>
    <t>Лента бутиловая ПСУЛ</t>
  </si>
  <si>
    <t>5772131000</t>
  </si>
  <si>
    <t>Доски подоконные из ПВХ</t>
  </si>
  <si>
    <t>5772132000</t>
  </si>
  <si>
    <t>Заглушки торцевые</t>
  </si>
  <si>
    <t>Краска водно-дисперсионная, состав: поливинилацетатная дисперсия, диоксид титана, карбонат кальция, силикатные наполнители, вода, аддитивы, консерванты метилизотиазлинон, бензизотиазолинон, матовая, механизированного и ручного нанесения, для внутренних работ, паропроницаемая, моющаяся, износоустойчивая, стойкая к дезинфицирующим средствам, класс укрывистости 2, класс стойкости к влажному истиранию 2, плотность 1,5 г/см3</t>
  </si>
  <si>
    <t>Смесь сухая, тонкодисперсная, гипсовая, с полимерными добавками, шпатлевочная, для внутренних работ, ручного нанесения, прочность на сжатие не менее 2 МПа, прочность на изгиб не менее 1 МПа, для приклеивания гипсокартонных листов, заделки стыков, повреждений, мест крепления гипсоволокнистых и гипсокартонных листов, сплошного тонкослойного шпатлевания плоских бетонных и оштукатуренных поверхностей, монтажа и заделки стыков гипсовых пазогребневых плит, склеивания и шпатлевания гипсовых элементов</t>
  </si>
  <si>
    <t>Краска водно-дисперсионная, акриловая, с коллоидным раствором серебра, биологически активная, для внутренних работ, ручного и механизированного нанесения, сухой остаток от 56 до 62%, водородный показатель не менее рН 8,5, для окраски помещений медицинских учреждений, детских садов, школ, предприятий общественного питания и прочих мест массового посещения людей</t>
  </si>
  <si>
    <t>Смесь сухая, мелкозернистая, на полимерном органическом связующем, с известняковым заполнителем, шпатлевочная, суперпластичная, для внутренних работ, механизированного и ручного нанесения, для сухих помещений, для финишного выравнивания стен и потолков перед наклейкой обоев или покраской, белая</t>
  </si>
  <si>
    <t>Смесь сухая, мелкозернистая, цементная, с минеральными наполнителями и химическими добавками, гидроизоляционная, поверхностная, паропроницаемая, для наружных и внутренних работ, ручного нанесения, прочность на сжатие не менее 8 МПа, прочность на изгиб не менее 2,5 МПа, прочность сцепления с бетоном не менее 0,9 МПа, водонепроницаемость при прямом/обратном давлении не менее 0,7/0,2 МПа, не менее F50, для создания бесшовного гидроизоляционного барьера на фундаментах, подвалах, фасадах, цоколях, террасах, балконах, резервуарах, бассейнах, колодцах, в помещениях с повышенной влажностью, разрешен контакт с питьевой водой</t>
  </si>
  <si>
    <t>Смесь сухая, цементно-песчаная, безусадочная, для внутренних работ ручного нанесения, В15 (М200), F50, крупность заполнителя не более 0,315 мм, для устройства стяжки под укладку керамической и керамогранитной плитки, линолеума, паркета, ковролина, ламината, пробковых покрытий</t>
  </si>
  <si>
    <t>Лента пароизоляционная, герметизирующая, бутилкаучуковая, самоклеящиеся, армированная нетканым полотном, с дополнительной клеевой крепежной полосой для монтажа в скрытые места, прочность сцепления не менее 0,1 МПа, диапазон температур эксплуатации от -60 до +140°, теплостойкость до +180°С, пенетрация при 0,1 мм от 3 до 90, ширина 100 мм, толщина 1,5 мм, для герметизации оконного шва с внутренней стороны по всему периметру</t>
  </si>
  <si>
    <t>Лента гидроизоляционная, паропроницаемая, герметизирующая, бутилкаучуковая, на основе пародиффузионной мембраны, с клеящими неотверждаемыми слоями герметика с двух краев, прочность сцепления не менее 0,1 МПа, диапазон температур эксплуатации от -60 до +80°С, теплостойкость до +180°С, пенетрация при 0,1 мм от 3 до 90, ширина 100 мм, толщина 1,5 мм, для вентиляции и защиты от проникновения влаги в стык различных конструкций, отделки под отлив, наружная герметизация примыканий оконных и дверных блоков к стеновому проему и защиты теплоизоляционного слоя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</si>
  <si>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</si>
  <si>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</si>
  <si>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</si>
  <si>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</si>
  <si>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</si>
  <si>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</si>
  <si>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</si>
  <si>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</si>
  <si>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</si>
  <si>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</si>
  <si>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</si>
  <si>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</si>
  <si>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</si>
  <si>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</si>
  <si>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</si>
  <si>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</si>
  <si>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</si>
  <si>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</si>
  <si>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</si>
  <si>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</si>
  <si>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</si>
  <si>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</si>
  <si>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</si>
  <si>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71</t>
  </si>
  <si>
    <t>№ и период сборника коэффициентов (индексов) пересчета: Коэффициенты к ТСН-2001 МГЭ, ремонт №209 февраль 2024 года и Коэффициенты пересчета к ТСН-2001.13-2 февраль 2024 года</t>
  </si>
  <si>
    <t>ЗП</t>
  </si>
  <si>
    <t>НР от ЗП</t>
  </si>
  <si>
    <t>%</t>
  </si>
  <si>
    <t>СП от ЗП</t>
  </si>
  <si>
    <t>ЗТР</t>
  </si>
  <si>
    <t>чел-ч</t>
  </si>
  <si>
    <t>Всего по позиции:</t>
  </si>
  <si>
    <t>ЭМ</t>
  </si>
  <si>
    <t>в т.ч. ЗПМ</t>
  </si>
  <si>
    <t>НР и СП от ЗПМ</t>
  </si>
  <si>
    <t>МР</t>
  </si>
  <si>
    <t xml:space="preserve">   Итого по ТСН-2001.16</t>
  </si>
  <si>
    <t xml:space="preserve">   Итого возвратных сумм</t>
  </si>
  <si>
    <t>к нр )*4</t>
  </si>
  <si>
    <t xml:space="preserve"> тыс.руб.</t>
  </si>
  <si>
    <t xml:space="preserve">Составил   </t>
  </si>
  <si>
    <t>(должность, подпись, инициалы, фамилия)</t>
  </si>
  <si>
    <t xml:space="preserve">Проверил   </t>
  </si>
  <si>
    <t>ГБУ "Мой семейный центр "Зеленоград" по адресу: г. Москва, г. Зеленоград, к.1426.</t>
  </si>
  <si>
    <t>УТВЕРЖДАЮ</t>
  </si>
  <si>
    <t>ГКУ "Дирекция ОДОТСЗН г.Москвы"</t>
  </si>
  <si>
    <t>Заместитель директора</t>
  </si>
  <si>
    <t>___________________Е.В. Дроздов</t>
  </si>
  <si>
    <t>2024 г.</t>
  </si>
  <si>
    <t>Выполнение работ по капитальному ремонту в учреждении, подведомственном ДТСЗН г.Москвы (Закупка 60).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</si>
</sst>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\-\ #,##0.00"/>
    <numFmt numFmtId="165" formatCode="General;\-General;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3"/>
      <name val="Arial"/>
      <family val="2"/>
      <charset val="204"/>
    </font>
    <font>
      <b/>
      <u/>
      <sz val="11"/>
      <name val="Arial"/>
      <family val="2"/>
      <charset val="204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Border="1" applyAlignment="1">
      <alignment horizontal="left" wrapText="1"/>
    </xf>
    <xf numFmtId="0" fontId="9" fillId="0" borderId="0" xfId="0" applyFont="1" applyAlignment="1">
      <alignment horizontal="center" vertical="top" wrapText="1"/>
    </xf>
    <xf numFmtId="164" fontId="13" fillId="0" borderId="0" xfId="0" applyNumberFormat="1" applyFont="1"/>
    <xf numFmtId="0" fontId="13" fillId="0" borderId="0" xfId="0" applyFont="1"/>
    <xf numFmtId="164" fontId="9" fillId="0" borderId="0" xfId="0" applyNumberFormat="1" applyFont="1"/>
    <xf numFmtId="0" fontId="9" fillId="0" borderId="0" xfId="0" applyFont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right"/>
    </xf>
    <xf numFmtId="0" fontId="17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 wrapText="1"/>
    </xf>
    <xf numFmtId="164" fontId="9" fillId="0" borderId="0" xfId="0" applyNumberFormat="1" applyFont="1" applyAlignment="1">
      <alignment horizontal="right"/>
    </xf>
    <xf numFmtId="164" fontId="0" fillId="0" borderId="0" xfId="0" applyNumberFormat="1"/>
    <xf numFmtId="0" fontId="9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5" fontId="9" fillId="0" borderId="1" xfId="0" applyNumberFormat="1" applyFont="1" applyBorder="1" applyAlignment="1">
      <alignment horizontal="right" wrapText="1"/>
    </xf>
    <xf numFmtId="0" fontId="14" fillId="0" borderId="0" xfId="0" applyFont="1" applyAlignment="1">
      <alignment vertical="top" wrapText="1"/>
    </xf>
    <xf numFmtId="164" fontId="17" fillId="0" borderId="0" xfId="0" applyNumberFormat="1" applyFont="1" applyAlignment="1">
      <alignment horizontal="right"/>
    </xf>
    <xf numFmtId="165" fontId="9" fillId="0" borderId="0" xfId="0" quotePrefix="1" applyNumberFormat="1" applyFont="1" applyAlignment="1">
      <alignment horizontal="right" wrapText="1"/>
    </xf>
    <xf numFmtId="0" fontId="13" fillId="0" borderId="0" xfId="0" applyFont="1" applyAlignment="1">
      <alignment horizontal="left" wrapText="1"/>
    </xf>
    <xf numFmtId="0" fontId="9" fillId="0" borderId="1" xfId="0" applyFont="1" applyBorder="1"/>
    <xf numFmtId="0" fontId="10" fillId="0" borderId="0" xfId="0" applyFont="1"/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13" fillId="0" borderId="0" xfId="0" applyFont="1" applyAlignment="1">
      <alignment horizontal="left"/>
    </xf>
    <xf numFmtId="0" fontId="10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/>
    <xf numFmtId="164" fontId="13" fillId="0" borderId="2" xfId="0" applyNumberFormat="1" applyFont="1" applyBorder="1" applyAlignment="1">
      <alignment horizontal="right"/>
    </xf>
    <xf numFmtId="0" fontId="16" fillId="0" borderId="0" xfId="0" applyFont="1" applyAlignment="1">
      <alignment horizontal="left" wrapText="1"/>
    </xf>
    <xf numFmtId="16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164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685"/>
  <sheetViews>
    <sheetView tabSelected="1" view="pageBreakPreview" topLeftCell="A642" zoomScale="60" zoomScaleNormal="100" workbookViewId="0">
      <selection activeCell="A12" sqref="A12:K12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4" width="11.7109375" customWidth="1"/>
    <col min="5" max="5" width="10.140625" bestFit="1" customWidth="1"/>
    <col min="6" max="6" width="13.42578125" customWidth="1"/>
    <col min="7" max="7" width="8.5703125" bestFit="1" customWidth="1"/>
    <col min="9" max="9" width="13" customWidth="1"/>
    <col min="10" max="10" width="11.85546875" bestFit="1" customWidth="1"/>
    <col min="11" max="11" width="16.5703125" customWidth="1"/>
    <col min="14" max="41" width="0" hidden="1" customWidth="1"/>
    <col min="42" max="42" width="129.7109375" hidden="1" customWidth="1"/>
    <col min="43" max="43" width="96" hidden="1" customWidth="1"/>
    <col min="44" max="47" width="0" hidden="1" customWidth="1"/>
  </cols>
  <sheetData>
    <row r="1" spans="1:42" ht="15.75" x14ac:dyDescent="0.25">
      <c r="G1" s="37" t="s">
        <v>1028</v>
      </c>
      <c r="H1" s="37"/>
      <c r="I1" s="37"/>
      <c r="J1" s="36"/>
      <c r="K1" s="36"/>
    </row>
    <row r="2" spans="1:42" ht="15.75" x14ac:dyDescent="0.2">
      <c r="G2" s="37" t="s">
        <v>1029</v>
      </c>
      <c r="H2" s="37"/>
      <c r="I2" s="37"/>
      <c r="J2" s="37"/>
      <c r="K2" s="37"/>
    </row>
    <row r="3" spans="1:42" ht="15.75" x14ac:dyDescent="0.25">
      <c r="G3" s="37" t="s">
        <v>1030</v>
      </c>
      <c r="H3" s="37"/>
      <c r="I3" s="37"/>
      <c r="J3" s="36"/>
      <c r="K3" s="36"/>
    </row>
    <row r="4" spans="1:42" ht="15.75" x14ac:dyDescent="0.25">
      <c r="G4" s="36"/>
      <c r="H4" s="36"/>
      <c r="I4" s="36"/>
      <c r="J4" s="36"/>
      <c r="K4" s="36"/>
    </row>
    <row r="5" spans="1:42" ht="15.75" x14ac:dyDescent="0.2">
      <c r="G5" s="37" t="s">
        <v>1031</v>
      </c>
      <c r="H5" s="37"/>
      <c r="I5" s="37"/>
      <c r="J5" s="37"/>
      <c r="K5" s="37"/>
    </row>
    <row r="6" spans="1:42" ht="15.75" x14ac:dyDescent="0.25">
      <c r="G6" s="36"/>
      <c r="H6" s="36"/>
      <c r="I6" s="36" t="s">
        <v>1032</v>
      </c>
      <c r="J6" s="36"/>
      <c r="K6" s="36"/>
    </row>
    <row r="10" spans="1:42" ht="14.25" x14ac:dyDescent="0.2">
      <c r="A10" s="9"/>
      <c r="B10" s="9"/>
      <c r="C10" s="9"/>
      <c r="D10" s="9"/>
      <c r="E10" s="9"/>
      <c r="F10" s="9"/>
      <c r="G10" s="9"/>
      <c r="H10" s="9"/>
      <c r="I10" s="9"/>
      <c r="J10" s="42" t="s">
        <v>1006</v>
      </c>
      <c r="K10" s="42"/>
    </row>
    <row r="11" spans="1:42" ht="18.75" customHeight="1" x14ac:dyDescent="0.25">
      <c r="A11" s="45" t="s">
        <v>1033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AP11" s="18" t="s">
        <v>5</v>
      </c>
    </row>
    <row r="12" spans="1:42" x14ac:dyDescent="0.2">
      <c r="A12" s="46" t="s">
        <v>984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</row>
    <row r="13" spans="1:42" ht="14.25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42" ht="15.75" x14ac:dyDescent="0.25">
      <c r="A14" s="45" t="str">
        <f>CONCATENATE( "ЛОКАЛЬНАЯ СМЕТА № ",IF(Source!F12&lt;&gt;"Новый объект", Source!F12, ""))</f>
        <v xml:space="preserve">ЛОКАЛЬНАЯ СМЕТА № 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42" ht="14.25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42" ht="15.75" x14ac:dyDescent="0.25">
      <c r="A16" s="45" t="s">
        <v>1027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">
      <c r="A17" s="48" t="s">
        <v>985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</row>
    <row r="18" spans="1:11" ht="14.25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ht="14.25" x14ac:dyDescent="0.2">
      <c r="A19" s="41" t="str">
        <f>CONCATENATE( "Основание: чертежи № ", Source!J12)</f>
        <v xml:space="preserve">Основание: чертежи № 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1" ht="14.25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ht="57" x14ac:dyDescent="0.2">
      <c r="A21" s="9"/>
      <c r="B21" s="9"/>
      <c r="C21" s="9"/>
      <c r="D21" s="9"/>
      <c r="E21" s="9"/>
      <c r="F21" s="9"/>
      <c r="G21" s="9"/>
      <c r="H21" s="9"/>
      <c r="I21" s="11" t="s">
        <v>986</v>
      </c>
      <c r="J21" s="11" t="s">
        <v>987</v>
      </c>
      <c r="K21" s="9"/>
    </row>
    <row r="22" spans="1:11" ht="15" x14ac:dyDescent="0.25">
      <c r="A22" s="9"/>
      <c r="B22" s="9"/>
      <c r="C22" s="9"/>
      <c r="D22" s="9"/>
      <c r="E22" s="44" t="s">
        <v>988</v>
      </c>
      <c r="F22" s="44"/>
      <c r="G22" s="44"/>
      <c r="H22" s="44"/>
      <c r="I22" s="12">
        <f>I23+I24+I25+I26</f>
        <v>317.16000000000003</v>
      </c>
      <c r="J22" s="12">
        <f>J23+J24+J25+J26</f>
        <v>2496.23</v>
      </c>
      <c r="K22" s="13" t="s">
        <v>1023</v>
      </c>
    </row>
    <row r="23" spans="1:11" ht="14.25" x14ac:dyDescent="0.2">
      <c r="A23" s="9"/>
      <c r="B23" s="9"/>
      <c r="C23" s="9"/>
      <c r="D23" s="9"/>
      <c r="E23" s="38" t="s">
        <v>37</v>
      </c>
      <c r="F23" s="38"/>
      <c r="G23" s="38"/>
      <c r="H23" s="38"/>
      <c r="I23" s="14">
        <f>ROUND(SUM(X10:X678)/1000, 2)</f>
        <v>314.75</v>
      </c>
      <c r="J23" s="14">
        <f>ROUND((Source!F444)/1000, 2)</f>
        <v>2429.0300000000002</v>
      </c>
      <c r="K23" s="9" t="s">
        <v>1023</v>
      </c>
    </row>
    <row r="24" spans="1:11" ht="14.25" x14ac:dyDescent="0.2">
      <c r="A24" s="9"/>
      <c r="B24" s="9"/>
      <c r="C24" s="9"/>
      <c r="D24" s="9"/>
      <c r="E24" s="38" t="s">
        <v>989</v>
      </c>
      <c r="F24" s="38"/>
      <c r="G24" s="38"/>
      <c r="H24" s="38"/>
      <c r="I24" s="14">
        <f>ROUND(SUM(Y10:Y678)/1000, 2)</f>
        <v>0</v>
      </c>
      <c r="J24" s="14">
        <f>ROUND((Source!F445)/1000, 2)</f>
        <v>0</v>
      </c>
      <c r="K24" s="9" t="s">
        <v>1023</v>
      </c>
    </row>
    <row r="25" spans="1:11" ht="14.25" x14ac:dyDescent="0.2">
      <c r="A25" s="9"/>
      <c r="B25" s="9"/>
      <c r="C25" s="9"/>
      <c r="D25" s="9"/>
      <c r="E25" s="38" t="s">
        <v>990</v>
      </c>
      <c r="F25" s="38"/>
      <c r="G25" s="38"/>
      <c r="H25" s="38"/>
      <c r="I25" s="14">
        <f>ROUND(SUM(Z10:Z678)/1000, 2)</f>
        <v>0</v>
      </c>
      <c r="J25" s="14">
        <f>ROUND((Source!F436)/1000, 2)</f>
        <v>0</v>
      </c>
      <c r="K25" s="9" t="s">
        <v>1023</v>
      </c>
    </row>
    <row r="26" spans="1:11" ht="14.25" x14ac:dyDescent="0.2">
      <c r="A26" s="9"/>
      <c r="B26" s="9"/>
      <c r="C26" s="9"/>
      <c r="D26" s="9"/>
      <c r="E26" s="38" t="s">
        <v>991</v>
      </c>
      <c r="F26" s="38"/>
      <c r="G26" s="38"/>
      <c r="H26" s="38"/>
      <c r="I26" s="14">
        <f>ROUND(SUM(AA10:AA678)/1000, 2)</f>
        <v>2.41</v>
      </c>
      <c r="J26" s="14">
        <f>ROUND((Source!F446+Source!F447)/1000, 2)</f>
        <v>67.2</v>
      </c>
      <c r="K26" s="9" t="s">
        <v>1023</v>
      </c>
    </row>
    <row r="27" spans="1:11" ht="14.25" x14ac:dyDescent="0.2">
      <c r="A27" s="9"/>
      <c r="B27" s="9"/>
      <c r="C27" s="9"/>
      <c r="D27" s="9"/>
      <c r="E27" s="38" t="s">
        <v>992</v>
      </c>
      <c r="F27" s="38"/>
      <c r="G27" s="38"/>
      <c r="H27" s="38"/>
      <c r="I27" s="14">
        <f>ROUND(SUM(W10:W678)/1000, 2)</f>
        <v>19.98</v>
      </c>
      <c r="J27" s="14">
        <f>(Source!F442+ Source!F441)/1000</f>
        <v>600.41255000000001</v>
      </c>
      <c r="K27" s="9" t="s">
        <v>1023</v>
      </c>
    </row>
    <row r="28" spans="1:11" ht="14.25" x14ac:dyDescent="0.2">
      <c r="A28" s="9"/>
      <c r="B28" s="9"/>
      <c r="C28" s="9"/>
      <c r="D28" s="9"/>
      <c r="E28" s="38" t="s">
        <v>993</v>
      </c>
      <c r="F28" s="38"/>
      <c r="G28" s="38"/>
      <c r="H28" s="38"/>
      <c r="I28" s="14">
        <f>SUM(AB10:AB678)</f>
        <v>1651.9964700000003</v>
      </c>
      <c r="J28" s="14"/>
      <c r="K28" s="9" t="s">
        <v>640</v>
      </c>
    </row>
    <row r="29" spans="1:11" ht="14.25" hidden="1" x14ac:dyDescent="0.2">
      <c r="A29" s="9"/>
      <c r="B29" s="9"/>
      <c r="C29" s="9"/>
      <c r="D29" s="9"/>
      <c r="E29" s="39" t="s">
        <v>994</v>
      </c>
      <c r="F29" s="39"/>
      <c r="G29" s="39"/>
      <c r="H29" s="39"/>
      <c r="I29" s="14"/>
      <c r="J29" s="14"/>
      <c r="K29" s="9"/>
    </row>
    <row r="30" spans="1:11" ht="14.25" hidden="1" x14ac:dyDescent="0.2">
      <c r="A30" s="9"/>
      <c r="B30" s="9"/>
      <c r="C30" s="9"/>
      <c r="D30" s="9"/>
      <c r="E30" s="40" t="s">
        <v>197</v>
      </c>
      <c r="F30" s="40"/>
      <c r="G30" s="40"/>
      <c r="H30" s="40"/>
      <c r="I30" s="14">
        <f>ROUND(SUM(AE10:AE678)/1000, 2)</f>
        <v>0</v>
      </c>
      <c r="J30" s="14">
        <f>SUM(AF10:AF678)/1000</f>
        <v>0</v>
      </c>
      <c r="K30" s="9" t="s">
        <v>1023</v>
      </c>
    </row>
    <row r="31" spans="1:11" ht="14.25" x14ac:dyDescent="0.2">
      <c r="A31" s="9"/>
      <c r="B31" s="9"/>
      <c r="C31" s="9"/>
      <c r="D31" s="9"/>
      <c r="E31" s="9"/>
      <c r="F31" s="15"/>
      <c r="G31" s="15"/>
      <c r="H31" s="15"/>
      <c r="I31" s="14"/>
      <c r="J31" s="14"/>
      <c r="K31" s="9"/>
    </row>
    <row r="32" spans="1:11" ht="14.25" x14ac:dyDescent="0.2">
      <c r="A32" s="9" t="s">
        <v>1007</v>
      </c>
      <c r="B32" s="9"/>
      <c r="C32" s="9"/>
      <c r="D32" s="9"/>
      <c r="E32" s="9"/>
      <c r="F32" s="15"/>
      <c r="G32" s="15"/>
      <c r="H32" s="15"/>
      <c r="I32" s="14"/>
      <c r="J32" s="14"/>
      <c r="K32" s="9"/>
    </row>
    <row r="33" spans="1:42" ht="28.5" x14ac:dyDescent="0.2">
      <c r="A33" s="41" t="s">
        <v>1008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AP33" s="19" t="s">
        <v>1008</v>
      </c>
    </row>
    <row r="34" spans="1:42" ht="99.75" x14ac:dyDescent="0.2">
      <c r="A34" s="16" t="s">
        <v>995</v>
      </c>
      <c r="B34" s="16" t="s">
        <v>996</v>
      </c>
      <c r="C34" s="16" t="s">
        <v>997</v>
      </c>
      <c r="D34" s="16" t="s">
        <v>998</v>
      </c>
      <c r="E34" s="16" t="s">
        <v>999</v>
      </c>
      <c r="F34" s="16" t="s">
        <v>1000</v>
      </c>
      <c r="G34" s="17" t="s">
        <v>1001</v>
      </c>
      <c r="H34" s="17" t="s">
        <v>1002</v>
      </c>
      <c r="I34" s="16" t="s">
        <v>1003</v>
      </c>
      <c r="J34" s="16" t="s">
        <v>1004</v>
      </c>
      <c r="K34" s="16" t="s">
        <v>1005</v>
      </c>
    </row>
    <row r="35" spans="1:42" ht="14.25" x14ac:dyDescent="0.2">
      <c r="A35" s="16">
        <v>1</v>
      </c>
      <c r="B35" s="16">
        <v>2</v>
      </c>
      <c r="C35" s="16">
        <v>3</v>
      </c>
      <c r="D35" s="16">
        <v>4</v>
      </c>
      <c r="E35" s="16">
        <v>5</v>
      </c>
      <c r="F35" s="16">
        <v>6</v>
      </c>
      <c r="G35" s="16">
        <v>7</v>
      </c>
      <c r="H35" s="16">
        <v>8</v>
      </c>
      <c r="I35" s="16">
        <v>9</v>
      </c>
      <c r="J35" s="16">
        <v>10</v>
      </c>
      <c r="K35" s="16">
        <v>11</v>
      </c>
    </row>
    <row r="37" spans="1:42" ht="16.5" x14ac:dyDescent="0.25">
      <c r="A37" s="43" t="str">
        <f>CONCATENATE("Локальная смета: ",IF(Source!G20&lt;&gt;"Новая локальная смета", Source!G20, ""))</f>
        <v xml:space="preserve">Локальная смета: 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</row>
    <row r="39" spans="1:42" ht="16.5" x14ac:dyDescent="0.25">
      <c r="A39" s="43" t="str">
        <f>CONCATENATE("Раздел: ",IF(Source!G24&lt;&gt;"Новый раздел", Source!G24, ""))</f>
        <v>Раздел: Потолок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</row>
    <row r="41" spans="1:42" ht="15" x14ac:dyDescent="0.25">
      <c r="B41" s="51" t="str">
        <f>Source!G28</f>
        <v>Демонтаж</v>
      </c>
      <c r="C41" s="51"/>
      <c r="D41" s="51"/>
      <c r="E41" s="51"/>
      <c r="F41" s="51"/>
      <c r="G41" s="51"/>
      <c r="H41" s="51"/>
      <c r="I41" s="51"/>
      <c r="J41" s="51"/>
    </row>
    <row r="42" spans="1:42" ht="42.75" x14ac:dyDescent="0.2">
      <c r="A42" s="20">
        <v>1</v>
      </c>
      <c r="B42" s="20" t="str">
        <f>Source!F29</f>
        <v>6.62-31-1</v>
      </c>
      <c r="C42" s="20" t="s">
        <v>19</v>
      </c>
      <c r="D42" s="22" t="str">
        <f>Source!H29</f>
        <v>1 м2 поверхности</v>
      </c>
      <c r="E42" s="21">
        <f>Source!I29</f>
        <v>45</v>
      </c>
      <c r="F42" s="24"/>
      <c r="G42" s="23"/>
      <c r="H42" s="21"/>
      <c r="I42" s="24"/>
      <c r="J42" s="21"/>
      <c r="K42" s="24"/>
      <c r="Q42">
        <f>ROUND((Source!DN29/100)*ROUND((ROUND((Source!AF29*Source!AV29*Source!I29),2)),2), 2)</f>
        <v>275.85000000000002</v>
      </c>
      <c r="R42">
        <f>Source!X29</f>
        <v>6891.56</v>
      </c>
      <c r="S42">
        <f>ROUND((Source!DO29/100)*ROUND((ROUND((Source!AF29*Source!AV29*Source!I29),2)),2), 2)</f>
        <v>176.54</v>
      </c>
      <c r="T42">
        <f>Source!Y29</f>
        <v>3404.27</v>
      </c>
      <c r="U42">
        <f>ROUND((175/100)*ROUND((ROUND((Source!AE29*Source!AV29*Source!I29),2)),2), 2)</f>
        <v>0</v>
      </c>
      <c r="V42">
        <f>ROUND((160/100)*ROUND(ROUND((ROUND((Source!AE29*Source!AV29*Source!I29),2)*Source!BS29),2), 2), 2)</f>
        <v>0</v>
      </c>
      <c r="AI42">
        <v>0</v>
      </c>
    </row>
    <row r="43" spans="1:42" ht="14.25" x14ac:dyDescent="0.2">
      <c r="A43" s="20"/>
      <c r="B43" s="20"/>
      <c r="C43" s="20" t="s">
        <v>1009</v>
      </c>
      <c r="D43" s="22"/>
      <c r="E43" s="21"/>
      <c r="F43" s="24">
        <f>Source!AO29</f>
        <v>6.13</v>
      </c>
      <c r="G43" s="23" t="str">
        <f>Source!DG29</f>
        <v/>
      </c>
      <c r="H43" s="21">
        <f>Source!AV29</f>
        <v>1</v>
      </c>
      <c r="I43" s="24">
        <f>ROUND((ROUND((Source!AF29*Source!AV29*Source!I29),2)),2)</f>
        <v>275.85000000000002</v>
      </c>
      <c r="J43" s="21">
        <f>IF(Source!BA29&lt;&gt; 0, Source!BA29, 1)</f>
        <v>30.1</v>
      </c>
      <c r="K43" s="24">
        <f>Source!S29</f>
        <v>8303.09</v>
      </c>
      <c r="W43">
        <f>I43</f>
        <v>275.85000000000002</v>
      </c>
    </row>
    <row r="44" spans="1:42" ht="14.25" x14ac:dyDescent="0.2">
      <c r="A44" s="20"/>
      <c r="B44" s="20"/>
      <c r="C44" s="20" t="s">
        <v>1010</v>
      </c>
      <c r="D44" s="22" t="s">
        <v>1011</v>
      </c>
      <c r="E44" s="21">
        <f>Source!DN29</f>
        <v>100</v>
      </c>
      <c r="F44" s="24"/>
      <c r="G44" s="23"/>
      <c r="H44" s="21"/>
      <c r="I44" s="24">
        <f>SUM(Q42:Q43)</f>
        <v>275.85000000000002</v>
      </c>
      <c r="J44" s="21">
        <f>Source!BZ29</f>
        <v>83</v>
      </c>
      <c r="K44" s="24">
        <f>SUM(R42:R43)</f>
        <v>6891.56</v>
      </c>
    </row>
    <row r="45" spans="1:42" ht="14.25" x14ac:dyDescent="0.2">
      <c r="A45" s="20"/>
      <c r="B45" s="20"/>
      <c r="C45" s="20" t="s">
        <v>1012</v>
      </c>
      <c r="D45" s="22" t="s">
        <v>1011</v>
      </c>
      <c r="E45" s="21">
        <f>Source!DO29</f>
        <v>64</v>
      </c>
      <c r="F45" s="24"/>
      <c r="G45" s="23"/>
      <c r="H45" s="21"/>
      <c r="I45" s="24">
        <f>SUM(S42:S44)</f>
        <v>176.54</v>
      </c>
      <c r="J45" s="21">
        <f>Source!CA29</f>
        <v>41</v>
      </c>
      <c r="K45" s="24">
        <f>SUM(T42:T44)</f>
        <v>3404.27</v>
      </c>
    </row>
    <row r="46" spans="1:42" ht="14.25" x14ac:dyDescent="0.2">
      <c r="A46" s="26"/>
      <c r="B46" s="26"/>
      <c r="C46" s="26" t="s">
        <v>1013</v>
      </c>
      <c r="D46" s="27" t="s">
        <v>1014</v>
      </c>
      <c r="E46" s="28">
        <f>Source!AQ29</f>
        <v>0.6</v>
      </c>
      <c r="F46" s="29"/>
      <c r="G46" s="30" t="str">
        <f>Source!DI29</f>
        <v/>
      </c>
      <c r="H46" s="28">
        <f>Source!AV29</f>
        <v>1</v>
      </c>
      <c r="I46" s="29">
        <f>Source!U29</f>
        <v>27</v>
      </c>
      <c r="J46" s="28"/>
      <c r="K46" s="29"/>
      <c r="AB46" s="25">
        <f>I46</f>
        <v>27</v>
      </c>
    </row>
    <row r="47" spans="1:42" ht="15" x14ac:dyDescent="0.25">
      <c r="C47" s="13" t="s">
        <v>1015</v>
      </c>
      <c r="H47" s="50">
        <f>I43+I44+I45+0</f>
        <v>728.24</v>
      </c>
      <c r="I47" s="50"/>
      <c r="J47" s="50">
        <f>K43+K44+K45+0</f>
        <v>18598.920000000002</v>
      </c>
      <c r="K47" s="50"/>
      <c r="O47" s="25">
        <f>I43+I44+I45+0</f>
        <v>728.24</v>
      </c>
      <c r="P47" s="25">
        <f>K43+K44+K45+0</f>
        <v>18598.920000000002</v>
      </c>
      <c r="X47">
        <f>IF(Source!BI29&lt;=1,I43+I44+I45-0, 0)</f>
        <v>728.24</v>
      </c>
      <c r="Y47">
        <f>IF(Source!BI29=2,I43+I44+I45-0, 0)</f>
        <v>0</v>
      </c>
      <c r="Z47">
        <f>IF(Source!BI29=3,I43+I44+I45-0, 0)</f>
        <v>0</v>
      </c>
      <c r="AA47">
        <f>IF(Source!BI29=4,I43+I44+I45,0)</f>
        <v>0</v>
      </c>
    </row>
    <row r="49" spans="1:35" ht="28.5" x14ac:dyDescent="0.2">
      <c r="A49" s="20">
        <v>2</v>
      </c>
      <c r="B49" s="20" t="str">
        <f>Source!F30</f>
        <v>6.54-1-6</v>
      </c>
      <c r="C49" s="20" t="s">
        <v>27</v>
      </c>
      <c r="D49" s="22" t="str">
        <f>Source!H30</f>
        <v>100 м2</v>
      </c>
      <c r="E49" s="21">
        <f>Source!I30</f>
        <v>0.35</v>
      </c>
      <c r="F49" s="24"/>
      <c r="G49" s="23"/>
      <c r="H49" s="21"/>
      <c r="I49" s="24"/>
      <c r="J49" s="21"/>
      <c r="K49" s="24"/>
      <c r="Q49">
        <f>ROUND((Source!DN30/100)*ROUND((ROUND((Source!AF30*Source!AV30*Source!I30),2)),2), 2)</f>
        <v>185.74</v>
      </c>
      <c r="R49">
        <f>Source!X30</f>
        <v>4891.82</v>
      </c>
      <c r="S49">
        <f>ROUND((Source!DO30/100)*ROUND((ROUND((Source!AF30*Source!AV30*Source!I30),2)),2), 2)</f>
        <v>127.69</v>
      </c>
      <c r="T49">
        <f>Source!Y30</f>
        <v>2865.21</v>
      </c>
      <c r="U49">
        <f>ROUND((175/100)*ROUND((ROUND((Source!AE30*Source!AV30*Source!I30),2)),2), 2)</f>
        <v>0.81</v>
      </c>
      <c r="V49">
        <f>ROUND((160/100)*ROUND(ROUND((ROUND((Source!AE30*Source!AV30*Source!I30),2)*Source!BS30),2), 2), 2)</f>
        <v>22.16</v>
      </c>
      <c r="AI49">
        <v>0</v>
      </c>
    </row>
    <row r="50" spans="1:35" x14ac:dyDescent="0.2">
      <c r="C50" s="31" t="str">
        <f>"Объем: "&amp;Source!I30&amp;"=35/"&amp;"100"</f>
        <v>Объем: 0,35=35/100</v>
      </c>
    </row>
    <row r="51" spans="1:35" ht="14.25" x14ac:dyDescent="0.2">
      <c r="A51" s="20"/>
      <c r="B51" s="20"/>
      <c r="C51" s="20" t="s">
        <v>1009</v>
      </c>
      <c r="D51" s="22"/>
      <c r="E51" s="21"/>
      <c r="F51" s="24">
        <f>Source!AO30</f>
        <v>663.35</v>
      </c>
      <c r="G51" s="23" t="str">
        <f>Source!DG30</f>
        <v/>
      </c>
      <c r="H51" s="21">
        <f>Source!AV30</f>
        <v>1</v>
      </c>
      <c r="I51" s="24">
        <f>ROUND((ROUND((Source!AF30*Source!AV30*Source!I30),2)),2)</f>
        <v>232.17</v>
      </c>
      <c r="J51" s="21">
        <f>IF(Source!BA30&lt;&gt; 0, Source!BA30, 1)</f>
        <v>30.1</v>
      </c>
      <c r="K51" s="24">
        <f>Source!S30</f>
        <v>6988.32</v>
      </c>
      <c r="W51">
        <f>I51</f>
        <v>232.17</v>
      </c>
    </row>
    <row r="52" spans="1:35" ht="14.25" x14ac:dyDescent="0.2">
      <c r="A52" s="20"/>
      <c r="B52" s="20"/>
      <c r="C52" s="20" t="s">
        <v>1016</v>
      </c>
      <c r="D52" s="22"/>
      <c r="E52" s="21"/>
      <c r="F52" s="24">
        <f>Source!AM30</f>
        <v>2.5</v>
      </c>
      <c r="G52" s="23" t="str">
        <f>Source!DE30</f>
        <v/>
      </c>
      <c r="H52" s="21">
        <f>Source!AV30</f>
        <v>1</v>
      </c>
      <c r="I52" s="24">
        <f>(ROUND((ROUND(((Source!ET30)*Source!AV30*Source!I30),2)),2)+ROUND((ROUND(((Source!AE30-(Source!EU30))*Source!AV30*Source!I30),2)),2))</f>
        <v>0.88</v>
      </c>
      <c r="J52" s="21">
        <f>IF(Source!BB30&lt;&gt; 0, Source!BB30, 1)</f>
        <v>20.16</v>
      </c>
      <c r="K52" s="24">
        <f>Source!Q30</f>
        <v>17.739999999999998</v>
      </c>
    </row>
    <row r="53" spans="1:35" ht="14.25" x14ac:dyDescent="0.2">
      <c r="A53" s="20"/>
      <c r="B53" s="20"/>
      <c r="C53" s="20" t="s">
        <v>1017</v>
      </c>
      <c r="D53" s="22"/>
      <c r="E53" s="21"/>
      <c r="F53" s="24">
        <f>Source!AN30</f>
        <v>1.31</v>
      </c>
      <c r="G53" s="23" t="str">
        <f>Source!DF30</f>
        <v/>
      </c>
      <c r="H53" s="21">
        <f>Source!AV30</f>
        <v>1</v>
      </c>
      <c r="I53" s="32">
        <f>ROUND((ROUND((Source!AE30*Source!AV30*Source!I30),2)),2)</f>
        <v>0.46</v>
      </c>
      <c r="J53" s="21">
        <f>IF(Source!BS30&lt;&gt; 0, Source!BS30, 1)</f>
        <v>30.1</v>
      </c>
      <c r="K53" s="32">
        <f>Source!R30</f>
        <v>13.85</v>
      </c>
      <c r="W53">
        <f>I53</f>
        <v>0.46</v>
      </c>
    </row>
    <row r="54" spans="1:35" ht="14.25" x14ac:dyDescent="0.2">
      <c r="A54" s="20"/>
      <c r="B54" s="20"/>
      <c r="C54" s="20" t="s">
        <v>1010</v>
      </c>
      <c r="D54" s="22" t="s">
        <v>1011</v>
      </c>
      <c r="E54" s="21">
        <f>Source!DN30</f>
        <v>80</v>
      </c>
      <c r="F54" s="24"/>
      <c r="G54" s="23"/>
      <c r="H54" s="21"/>
      <c r="I54" s="24">
        <f>SUM(Q49:Q53)</f>
        <v>185.74</v>
      </c>
      <c r="J54" s="21">
        <f>Source!BZ30</f>
        <v>70</v>
      </c>
      <c r="K54" s="24">
        <f>SUM(R49:R53)</f>
        <v>4891.82</v>
      </c>
    </row>
    <row r="55" spans="1:35" ht="14.25" x14ac:dyDescent="0.2">
      <c r="A55" s="20"/>
      <c r="B55" s="20"/>
      <c r="C55" s="20" t="s">
        <v>1012</v>
      </c>
      <c r="D55" s="22" t="s">
        <v>1011</v>
      </c>
      <c r="E55" s="21">
        <f>Source!DO30</f>
        <v>55</v>
      </c>
      <c r="F55" s="24"/>
      <c r="G55" s="23"/>
      <c r="H55" s="21"/>
      <c r="I55" s="24">
        <f>SUM(S49:S54)</f>
        <v>127.69</v>
      </c>
      <c r="J55" s="21">
        <f>Source!CA30</f>
        <v>41</v>
      </c>
      <c r="K55" s="24">
        <f>SUM(T49:T54)</f>
        <v>2865.21</v>
      </c>
    </row>
    <row r="56" spans="1:35" ht="14.25" x14ac:dyDescent="0.2">
      <c r="A56" s="20"/>
      <c r="B56" s="20"/>
      <c r="C56" s="20" t="s">
        <v>1018</v>
      </c>
      <c r="D56" s="22" t="s">
        <v>1011</v>
      </c>
      <c r="E56" s="21">
        <f>175</f>
        <v>175</v>
      </c>
      <c r="F56" s="24"/>
      <c r="G56" s="23"/>
      <c r="H56" s="21"/>
      <c r="I56" s="24">
        <f>SUM(U49:U55)</f>
        <v>0.81</v>
      </c>
      <c r="J56" s="21">
        <f>160</f>
        <v>160</v>
      </c>
      <c r="K56" s="24">
        <f>SUM(V49:V55)</f>
        <v>22.16</v>
      </c>
    </row>
    <row r="57" spans="1:35" ht="14.25" x14ac:dyDescent="0.2">
      <c r="A57" s="26"/>
      <c r="B57" s="26"/>
      <c r="C57" s="26" t="s">
        <v>1013</v>
      </c>
      <c r="D57" s="27" t="s">
        <v>1014</v>
      </c>
      <c r="E57" s="28">
        <f>Source!AQ30</f>
        <v>58.6</v>
      </c>
      <c r="F57" s="29"/>
      <c r="G57" s="30" t="str">
        <f>Source!DI30</f>
        <v/>
      </c>
      <c r="H57" s="28">
        <f>Source!AV30</f>
        <v>1</v>
      </c>
      <c r="I57" s="29">
        <f>Source!U30</f>
        <v>20.509999999999998</v>
      </c>
      <c r="J57" s="28"/>
      <c r="K57" s="29"/>
      <c r="AB57" s="25">
        <f>I57</f>
        <v>20.509999999999998</v>
      </c>
    </row>
    <row r="58" spans="1:35" ht="15" x14ac:dyDescent="0.25">
      <c r="C58" s="13" t="s">
        <v>1015</v>
      </c>
      <c r="H58" s="50">
        <f>I51+I52+I54+I55+I56+0</f>
        <v>547.29</v>
      </c>
      <c r="I58" s="50"/>
      <c r="J58" s="50">
        <f>K51+K52+K54+K55+K56+0</f>
        <v>14785.25</v>
      </c>
      <c r="K58" s="50"/>
      <c r="O58" s="25">
        <f>I51+I52+I54+I55+I56+0</f>
        <v>547.29</v>
      </c>
      <c r="P58" s="25">
        <f>K51+K52+K54+K55+K56+0</f>
        <v>14785.25</v>
      </c>
      <c r="X58">
        <f>IF(Source!BI30&lt;=1,I51+I52+I54+I55+I56-0, 0)</f>
        <v>547.29</v>
      </c>
      <c r="Y58">
        <f>IF(Source!BI30=2,I51+I52+I54+I55+I56-0, 0)</f>
        <v>0</v>
      </c>
      <c r="Z58">
        <f>IF(Source!BI30=3,I51+I52+I54+I55+I56-0, 0)</f>
        <v>0</v>
      </c>
      <c r="AA58">
        <f>IF(Source!BI30=4,I51+I52+I54+I55+I56,0)</f>
        <v>0</v>
      </c>
    </row>
    <row r="60" spans="1:35" ht="42.75" x14ac:dyDescent="0.2">
      <c r="A60" s="20">
        <v>3</v>
      </c>
      <c r="B60" s="20" t="str">
        <f>Source!F32</f>
        <v>6.54-18-1</v>
      </c>
      <c r="C60" s="20" t="s">
        <v>42</v>
      </c>
      <c r="D60" s="22" t="str">
        <f>Source!H32</f>
        <v>100 м2</v>
      </c>
      <c r="E60" s="21">
        <f>Source!I32</f>
        <v>0.4</v>
      </c>
      <c r="F60" s="24"/>
      <c r="G60" s="23"/>
      <c r="H60" s="21"/>
      <c r="I60" s="24"/>
      <c r="J60" s="21"/>
      <c r="K60" s="24"/>
      <c r="Q60">
        <f>ROUND((Source!DN32/100)*ROUND((ROUND((Source!AF32*Source!AV32*Source!I32),2)),2), 2)</f>
        <v>178.53</v>
      </c>
      <c r="R60">
        <f>Source!X32</f>
        <v>4460.21</v>
      </c>
      <c r="S60">
        <f>ROUND((Source!DO32/100)*ROUND((ROUND((Source!AF32*Source!AV32*Source!I32),2)),2), 2)</f>
        <v>114.26</v>
      </c>
      <c r="T60">
        <f>Source!Y32</f>
        <v>2203.2399999999998</v>
      </c>
      <c r="U60">
        <f>ROUND((175/100)*ROUND((ROUND((Source!AE32*Source!AV32*Source!I32),2)),2), 2)</f>
        <v>0</v>
      </c>
      <c r="V60">
        <f>ROUND((160/100)*ROUND(ROUND((ROUND((Source!AE32*Source!AV32*Source!I32),2)*Source!BS32),2), 2), 2)</f>
        <v>0</v>
      </c>
      <c r="AI60">
        <v>0</v>
      </c>
    </row>
    <row r="61" spans="1:35" x14ac:dyDescent="0.2">
      <c r="C61" s="31" t="str">
        <f>"Объем: "&amp;Source!I32&amp;"=40/"&amp;"100"</f>
        <v>Объем: 0,4=40/100</v>
      </c>
    </row>
    <row r="62" spans="1:35" ht="14.25" x14ac:dyDescent="0.2">
      <c r="A62" s="20"/>
      <c r="B62" s="20"/>
      <c r="C62" s="20" t="s">
        <v>1009</v>
      </c>
      <c r="D62" s="22"/>
      <c r="E62" s="21"/>
      <c r="F62" s="24">
        <f>Source!AO32</f>
        <v>446.32</v>
      </c>
      <c r="G62" s="23" t="str">
        <f>Source!DG32</f>
        <v/>
      </c>
      <c r="H62" s="21">
        <f>Source!AV32</f>
        <v>1</v>
      </c>
      <c r="I62" s="24">
        <f>ROUND((ROUND((Source!AF32*Source!AV32*Source!I32),2)),2)</f>
        <v>178.53</v>
      </c>
      <c r="J62" s="21">
        <f>IF(Source!BA32&lt;&gt; 0, Source!BA32, 1)</f>
        <v>30.1</v>
      </c>
      <c r="K62" s="24">
        <f>Source!S32</f>
        <v>5373.75</v>
      </c>
      <c r="W62">
        <f>I62</f>
        <v>178.53</v>
      </c>
    </row>
    <row r="63" spans="1:35" ht="14.25" x14ac:dyDescent="0.2">
      <c r="A63" s="20"/>
      <c r="B63" s="20"/>
      <c r="C63" s="20" t="s">
        <v>1016</v>
      </c>
      <c r="D63" s="22"/>
      <c r="E63" s="21"/>
      <c r="F63" s="24">
        <f>Source!AM32</f>
        <v>3.85</v>
      </c>
      <c r="G63" s="23" t="str">
        <f>Source!DE32</f>
        <v/>
      </c>
      <c r="H63" s="21">
        <f>Source!AV32</f>
        <v>1</v>
      </c>
      <c r="I63" s="24">
        <f>(ROUND((ROUND(((Source!ET32)*Source!AV32*Source!I32),2)),2)+ROUND((ROUND(((Source!AE32-(Source!EU32))*Source!AV32*Source!I32),2)),2))</f>
        <v>1.54</v>
      </c>
      <c r="J63" s="21">
        <f>IF(Source!BB32&lt;&gt; 0, Source!BB32, 1)</f>
        <v>8.5500000000000007</v>
      </c>
      <c r="K63" s="24">
        <f>Source!Q32</f>
        <v>13.17</v>
      </c>
    </row>
    <row r="64" spans="1:35" ht="14.25" x14ac:dyDescent="0.2">
      <c r="A64" s="20"/>
      <c r="B64" s="20"/>
      <c r="C64" s="20" t="s">
        <v>1010</v>
      </c>
      <c r="D64" s="22" t="s">
        <v>1011</v>
      </c>
      <c r="E64" s="21">
        <f>Source!DN32</f>
        <v>100</v>
      </c>
      <c r="F64" s="24"/>
      <c r="G64" s="23"/>
      <c r="H64" s="21"/>
      <c r="I64" s="24">
        <f>SUM(Q60:Q63)</f>
        <v>178.53</v>
      </c>
      <c r="J64" s="21">
        <f>Source!BZ32</f>
        <v>83</v>
      </c>
      <c r="K64" s="24">
        <f>SUM(R60:R63)</f>
        <v>4460.21</v>
      </c>
    </row>
    <row r="65" spans="1:35" ht="14.25" x14ac:dyDescent="0.2">
      <c r="A65" s="20"/>
      <c r="B65" s="20"/>
      <c r="C65" s="20" t="s">
        <v>1012</v>
      </c>
      <c r="D65" s="22" t="s">
        <v>1011</v>
      </c>
      <c r="E65" s="21">
        <f>Source!DO32</f>
        <v>64</v>
      </c>
      <c r="F65" s="24"/>
      <c r="G65" s="23"/>
      <c r="H65" s="21"/>
      <c r="I65" s="24">
        <f>SUM(S60:S64)</f>
        <v>114.26</v>
      </c>
      <c r="J65" s="21">
        <f>Source!CA32</f>
        <v>41</v>
      </c>
      <c r="K65" s="24">
        <f>SUM(T60:T64)</f>
        <v>2203.2399999999998</v>
      </c>
    </row>
    <row r="66" spans="1:35" ht="14.25" x14ac:dyDescent="0.2">
      <c r="A66" s="26"/>
      <c r="B66" s="26"/>
      <c r="C66" s="26" t="s">
        <v>1013</v>
      </c>
      <c r="D66" s="27" t="s">
        <v>1014</v>
      </c>
      <c r="E66" s="28">
        <f>Source!AQ32</f>
        <v>40.06</v>
      </c>
      <c r="F66" s="29"/>
      <c r="G66" s="30" t="str">
        <f>Source!DI32</f>
        <v/>
      </c>
      <c r="H66" s="28">
        <f>Source!AV32</f>
        <v>1</v>
      </c>
      <c r="I66" s="29">
        <f>Source!U32</f>
        <v>16.024000000000001</v>
      </c>
      <c r="J66" s="28"/>
      <c r="K66" s="29"/>
      <c r="AB66" s="25">
        <f>I66</f>
        <v>16.024000000000001</v>
      </c>
    </row>
    <row r="67" spans="1:35" ht="15" x14ac:dyDescent="0.25">
      <c r="C67" s="13" t="s">
        <v>1015</v>
      </c>
      <c r="H67" s="50">
        <f>I62+I63+I64+I65+0</f>
        <v>472.86</v>
      </c>
      <c r="I67" s="50"/>
      <c r="J67" s="50">
        <f>K62+K63+K64+K65+0</f>
        <v>12050.37</v>
      </c>
      <c r="K67" s="50"/>
      <c r="O67" s="25">
        <f>I62+I63+I64+I65+0</f>
        <v>472.86</v>
      </c>
      <c r="P67" s="25">
        <f>K62+K63+K64+K65+0</f>
        <v>12050.37</v>
      </c>
      <c r="X67">
        <f>IF(Source!BI32&lt;=1,I62+I63+I64+I65-0, 0)</f>
        <v>472.86</v>
      </c>
      <c r="Y67">
        <f>IF(Source!BI32=2,I62+I63+I64+I65-0, 0)</f>
        <v>0</v>
      </c>
      <c r="Z67">
        <f>IF(Source!BI32=3,I62+I63+I64+I65-0, 0)</f>
        <v>0</v>
      </c>
      <c r="AA67">
        <f>IF(Source!BI32=4,I62+I63+I64+I65,0)</f>
        <v>0</v>
      </c>
    </row>
    <row r="70" spans="1:35" ht="15" x14ac:dyDescent="0.25">
      <c r="B70" s="51" t="str">
        <f>Source!G33</f>
        <v>Монтаж</v>
      </c>
      <c r="C70" s="51"/>
      <c r="D70" s="51"/>
      <c r="E70" s="51"/>
      <c r="F70" s="51"/>
      <c r="G70" s="51"/>
      <c r="H70" s="51"/>
      <c r="I70" s="51"/>
      <c r="J70" s="51"/>
    </row>
    <row r="71" spans="1:35" ht="42.75" x14ac:dyDescent="0.2">
      <c r="A71" s="20">
        <v>4</v>
      </c>
      <c r="B71" s="20" t="str">
        <f>Source!F34</f>
        <v>3.15-165-2</v>
      </c>
      <c r="C71" s="20" t="s">
        <v>49</v>
      </c>
      <c r="D71" s="22" t="str">
        <f>Source!H34</f>
        <v>100 м2</v>
      </c>
      <c r="E71" s="21">
        <f>Source!I34</f>
        <v>0.45</v>
      </c>
      <c r="F71" s="24"/>
      <c r="G71" s="23"/>
      <c r="H71" s="21"/>
      <c r="I71" s="24"/>
      <c r="J71" s="21"/>
      <c r="K71" s="24"/>
      <c r="Q71">
        <f>ROUND((Source!DN34/100)*ROUND((ROUND((Source!AF34*Source!AV34*Source!I34),2)),2), 2)</f>
        <v>32.86</v>
      </c>
      <c r="R71">
        <f>Source!X34</f>
        <v>820.94</v>
      </c>
      <c r="S71">
        <f>ROUND((Source!DO34/100)*ROUND((ROUND((Source!AF34*Source!AV34*Source!I34),2)),2), 2)</f>
        <v>21.03</v>
      </c>
      <c r="T71">
        <f>Source!Y34</f>
        <v>405.53</v>
      </c>
      <c r="U71">
        <f>ROUND((175/100)*ROUND((ROUND((Source!AE34*Source!AV34*Source!I34),2)),2), 2)</f>
        <v>0.12</v>
      </c>
      <c r="V71">
        <f>ROUND((160/100)*ROUND(ROUND((ROUND((Source!AE34*Source!AV34*Source!I34),2)*Source!BS34),2), 2), 2)</f>
        <v>3.38</v>
      </c>
      <c r="AI71">
        <v>0</v>
      </c>
    </row>
    <row r="72" spans="1:35" x14ac:dyDescent="0.2">
      <c r="C72" s="31" t="str">
        <f>"Объем: "&amp;Source!I34&amp;"=45/"&amp;"100"</f>
        <v>Объем: 0,45=45/100</v>
      </c>
    </row>
    <row r="73" spans="1:35" ht="14.25" x14ac:dyDescent="0.2">
      <c r="A73" s="20"/>
      <c r="B73" s="20"/>
      <c r="C73" s="20" t="s">
        <v>1009</v>
      </c>
      <c r="D73" s="22"/>
      <c r="E73" s="21"/>
      <c r="F73" s="24">
        <f>Source!AO34</f>
        <v>63.49</v>
      </c>
      <c r="G73" s="23" t="str">
        <f>Source!DG34</f>
        <v>)*1,15</v>
      </c>
      <c r="H73" s="21">
        <f>Source!AV34</f>
        <v>1</v>
      </c>
      <c r="I73" s="24">
        <f>ROUND((ROUND((Source!AF34*Source!AV34*Source!I34),2)),2)</f>
        <v>32.86</v>
      </c>
      <c r="J73" s="21">
        <f>IF(Source!BA34&lt;&gt; 0, Source!BA34, 1)</f>
        <v>30.1</v>
      </c>
      <c r="K73" s="24">
        <f>Source!S34</f>
        <v>989.09</v>
      </c>
      <c r="W73">
        <f>I73</f>
        <v>32.86</v>
      </c>
    </row>
    <row r="74" spans="1:35" ht="14.25" x14ac:dyDescent="0.2">
      <c r="A74" s="20"/>
      <c r="B74" s="20"/>
      <c r="C74" s="20" t="s">
        <v>1016</v>
      </c>
      <c r="D74" s="22"/>
      <c r="E74" s="21"/>
      <c r="F74" s="24">
        <f>Source!AM34</f>
        <v>0.84</v>
      </c>
      <c r="G74" s="23" t="str">
        <f>Source!DE34</f>
        <v>)*1,25</v>
      </c>
      <c r="H74" s="21">
        <f>Source!AV34</f>
        <v>1</v>
      </c>
      <c r="I74" s="24">
        <f>(ROUND((ROUND((((Source!ET34*1.25))*Source!AV34*Source!I34),2)),2)+ROUND((ROUND(((Source!AE34-((Source!EU34*1.25)))*Source!AV34*Source!I34),2)),2))</f>
        <v>0.47</v>
      </c>
      <c r="J74" s="21">
        <f>IF(Source!BB34&lt;&gt; 0, Source!BB34, 1)</f>
        <v>12.02</v>
      </c>
      <c r="K74" s="24">
        <f>Source!Q34</f>
        <v>5.65</v>
      </c>
    </row>
    <row r="75" spans="1:35" ht="14.25" x14ac:dyDescent="0.2">
      <c r="A75" s="20"/>
      <c r="B75" s="20"/>
      <c r="C75" s="20" t="s">
        <v>1017</v>
      </c>
      <c r="D75" s="22"/>
      <c r="E75" s="21"/>
      <c r="F75" s="24">
        <f>Source!AN34</f>
        <v>0.13</v>
      </c>
      <c r="G75" s="23" t="str">
        <f>Source!DF34</f>
        <v>)*1,25</v>
      </c>
      <c r="H75" s="21">
        <f>Source!AV34</f>
        <v>1</v>
      </c>
      <c r="I75" s="32">
        <f>ROUND((ROUND((Source!AE34*Source!AV34*Source!I34),2)),2)</f>
        <v>7.0000000000000007E-2</v>
      </c>
      <c r="J75" s="21">
        <f>IF(Source!BS34&lt;&gt; 0, Source!BS34, 1)</f>
        <v>30.1</v>
      </c>
      <c r="K75" s="32">
        <f>Source!R34</f>
        <v>2.11</v>
      </c>
      <c r="W75">
        <f>I75</f>
        <v>7.0000000000000007E-2</v>
      </c>
    </row>
    <row r="76" spans="1:35" ht="57" x14ac:dyDescent="0.2">
      <c r="A76" s="20" t="s">
        <v>55</v>
      </c>
      <c r="B76" s="20" t="str">
        <f>Source!F35</f>
        <v>1.1-1-2854</v>
      </c>
      <c r="C76" s="20" t="s">
        <v>57</v>
      </c>
      <c r="D76" s="22" t="str">
        <f>Source!H35</f>
        <v>кг</v>
      </c>
      <c r="E76" s="21">
        <f>Source!I35</f>
        <v>4.6349999999999998</v>
      </c>
      <c r="F76" s="24">
        <f>Source!AK35</f>
        <v>28.98</v>
      </c>
      <c r="G76" s="33" t="s">
        <v>3</v>
      </c>
      <c r="H76" s="21">
        <f>Source!AW35</f>
        <v>1</v>
      </c>
      <c r="I76" s="24">
        <f>ROUND((ROUND((Source!AC35*Source!AW35*Source!I35),2)),2)+(ROUND((ROUND(((Source!ET35)*Source!AV35*Source!I35),2)),2)+ROUND((ROUND(((Source!AE35-(Source!EU35))*Source!AV35*Source!I35),2)),2))+ROUND((ROUND((Source!AF35*Source!AV35*Source!I35),2)),2)</f>
        <v>134.32</v>
      </c>
      <c r="J76" s="21">
        <f>IF(Source!BC35&lt;&gt; 0, Source!BC35, 1)</f>
        <v>3.58</v>
      </c>
      <c r="K76" s="24">
        <f>Source!O35</f>
        <v>480.87</v>
      </c>
      <c r="Q76">
        <f>ROUND((Source!DN35/100)*ROUND((ROUND((Source!AF35*Source!AV35*Source!I35),2)),2), 2)</f>
        <v>0</v>
      </c>
      <c r="R76">
        <f>Source!X35</f>
        <v>0</v>
      </c>
      <c r="S76">
        <f>ROUND((Source!DO35/100)*ROUND((ROUND((Source!AF35*Source!AV35*Source!I35),2)),2), 2)</f>
        <v>0</v>
      </c>
      <c r="T76">
        <f>Source!Y35</f>
        <v>0</v>
      </c>
      <c r="U76">
        <f>ROUND((175/100)*ROUND((ROUND((Source!AE35*Source!AV35*Source!I35),2)),2), 2)</f>
        <v>0</v>
      </c>
      <c r="V76">
        <f>ROUND((160/100)*ROUND(ROUND((ROUND((Source!AE35*Source!AV35*Source!I35),2)*Source!BS35),2), 2), 2)</f>
        <v>0</v>
      </c>
      <c r="X76">
        <f>IF(Source!BI35&lt;=1,I76, 0)</f>
        <v>134.32</v>
      </c>
      <c r="Y76">
        <f>IF(Source!BI35=2,I76, 0)</f>
        <v>0</v>
      </c>
      <c r="Z76">
        <f>IF(Source!BI35=3,I76, 0)</f>
        <v>0</v>
      </c>
      <c r="AA76">
        <f>IF(Source!BI35=4,I76, 0)</f>
        <v>0</v>
      </c>
      <c r="AI76">
        <v>3</v>
      </c>
    </row>
    <row r="77" spans="1:35" ht="14.25" x14ac:dyDescent="0.2">
      <c r="A77" s="20"/>
      <c r="B77" s="20"/>
      <c r="C77" s="20" t="s">
        <v>1010</v>
      </c>
      <c r="D77" s="22" t="s">
        <v>1011</v>
      </c>
      <c r="E77" s="21">
        <f>Source!DN34</f>
        <v>100</v>
      </c>
      <c r="F77" s="24"/>
      <c r="G77" s="23"/>
      <c r="H77" s="21"/>
      <c r="I77" s="24">
        <f>SUM(Q71:Q76)</f>
        <v>32.86</v>
      </c>
      <c r="J77" s="21">
        <f>Source!BZ34</f>
        <v>83</v>
      </c>
      <c r="K77" s="24">
        <f>SUM(R71:R76)</f>
        <v>820.94</v>
      </c>
    </row>
    <row r="78" spans="1:35" ht="14.25" x14ac:dyDescent="0.2">
      <c r="A78" s="20"/>
      <c r="B78" s="20"/>
      <c r="C78" s="20" t="s">
        <v>1012</v>
      </c>
      <c r="D78" s="22" t="s">
        <v>1011</v>
      </c>
      <c r="E78" s="21">
        <f>Source!DO34</f>
        <v>64</v>
      </c>
      <c r="F78" s="24"/>
      <c r="G78" s="23"/>
      <c r="H78" s="21"/>
      <c r="I78" s="24">
        <f>SUM(S71:S77)</f>
        <v>21.03</v>
      </c>
      <c r="J78" s="21">
        <f>Source!CA34</f>
        <v>41</v>
      </c>
      <c r="K78" s="24">
        <f>SUM(T71:T77)</f>
        <v>405.53</v>
      </c>
    </row>
    <row r="79" spans="1:35" ht="14.25" x14ac:dyDescent="0.2">
      <c r="A79" s="20"/>
      <c r="B79" s="20"/>
      <c r="C79" s="20" t="s">
        <v>1018</v>
      </c>
      <c r="D79" s="22" t="s">
        <v>1011</v>
      </c>
      <c r="E79" s="21">
        <f>175</f>
        <v>175</v>
      </c>
      <c r="F79" s="24"/>
      <c r="G79" s="23"/>
      <c r="H79" s="21"/>
      <c r="I79" s="24">
        <f>SUM(U71:U78)</f>
        <v>0.12</v>
      </c>
      <c r="J79" s="21">
        <f>160</f>
        <v>160</v>
      </c>
      <c r="K79" s="24">
        <f>SUM(V71:V78)</f>
        <v>3.38</v>
      </c>
    </row>
    <row r="80" spans="1:35" ht="14.25" x14ac:dyDescent="0.2">
      <c r="A80" s="26"/>
      <c r="B80" s="26"/>
      <c r="C80" s="26" t="s">
        <v>1013</v>
      </c>
      <c r="D80" s="27" t="s">
        <v>1014</v>
      </c>
      <c r="E80" s="28">
        <f>Source!AQ34</f>
        <v>5.68</v>
      </c>
      <c r="F80" s="29"/>
      <c r="G80" s="30" t="str">
        <f>Source!DI34</f>
        <v>)*1,15</v>
      </c>
      <c r="H80" s="28">
        <f>Source!AV34</f>
        <v>1</v>
      </c>
      <c r="I80" s="29">
        <f>Source!U34</f>
        <v>2.9393999999999996</v>
      </c>
      <c r="J80" s="28"/>
      <c r="K80" s="29"/>
      <c r="AB80" s="25">
        <f>I80</f>
        <v>2.9393999999999996</v>
      </c>
    </row>
    <row r="81" spans="1:35" ht="15" x14ac:dyDescent="0.25">
      <c r="C81" s="13" t="s">
        <v>1015</v>
      </c>
      <c r="H81" s="50">
        <f>I73+I74+I77+I78+I79+SUM(I76:I76)</f>
        <v>221.66</v>
      </c>
      <c r="I81" s="50"/>
      <c r="J81" s="50">
        <f>K73+K74+K77+K78+K79+SUM(K76:K76)</f>
        <v>2705.46</v>
      </c>
      <c r="K81" s="50"/>
      <c r="O81" s="25">
        <f>I73+I74+I77+I78+I79+SUM(I76:I76)</f>
        <v>221.66</v>
      </c>
      <c r="P81" s="25">
        <f>K73+K74+K77+K78+K79+SUM(K76:K76)</f>
        <v>2705.46</v>
      </c>
      <c r="X81">
        <f>IF(Source!BI34&lt;=1,I73+I74+I77+I78+I79-0, 0)</f>
        <v>87.34</v>
      </c>
      <c r="Y81">
        <f>IF(Source!BI34=2,I73+I74+I77+I78+I79-0, 0)</f>
        <v>0</v>
      </c>
      <c r="Z81">
        <f>IF(Source!BI34=3,I73+I74+I77+I78+I79-0, 0)</f>
        <v>0</v>
      </c>
      <c r="AA81">
        <f>IF(Source!BI34=4,I73+I74+I77+I78+I79,0)</f>
        <v>0</v>
      </c>
    </row>
    <row r="83" spans="1:35" ht="85.5" x14ac:dyDescent="0.2">
      <c r="A83" s="20">
        <v>5</v>
      </c>
      <c r="B83" s="20" t="str">
        <f>Source!F36</f>
        <v>3.15-55-2</v>
      </c>
      <c r="C83" s="20" t="s">
        <v>62</v>
      </c>
      <c r="D83" s="22" t="str">
        <f>Source!H36</f>
        <v>100 м2 оштукатуриваемой поверхности</v>
      </c>
      <c r="E83" s="21">
        <f>Source!I36</f>
        <v>0.45</v>
      </c>
      <c r="F83" s="24"/>
      <c r="G83" s="23"/>
      <c r="H83" s="21"/>
      <c r="I83" s="24"/>
      <c r="J83" s="21"/>
      <c r="K83" s="24"/>
      <c r="Q83">
        <f>ROUND((Source!DN36/100)*ROUND((ROUND((Source!AF36*Source!AV36*Source!I36),2)),2), 2)</f>
        <v>267.11</v>
      </c>
      <c r="R83">
        <f>Source!X36</f>
        <v>6673.21</v>
      </c>
      <c r="S83">
        <f>ROUND((Source!DO36/100)*ROUND((ROUND((Source!AF36*Source!AV36*Source!I36),2)),2), 2)</f>
        <v>170.95</v>
      </c>
      <c r="T83">
        <f>Source!Y36</f>
        <v>3296.4</v>
      </c>
      <c r="U83">
        <f>ROUND((175/100)*ROUND((ROUND((Source!AE36*Source!AV36*Source!I36),2)),2), 2)</f>
        <v>8.7899999999999991</v>
      </c>
      <c r="V83">
        <f>ROUND((160/100)*ROUND(ROUND((ROUND((Source!AE36*Source!AV36*Source!I36),2)*Source!BS36),2), 2), 2)</f>
        <v>241.76</v>
      </c>
      <c r="AI83">
        <v>0</v>
      </c>
    </row>
    <row r="84" spans="1:35" x14ac:dyDescent="0.2">
      <c r="C84" s="31" t="str">
        <f>"Объем: "&amp;Source!I36&amp;"=45/"&amp;"100"</f>
        <v>Объем: 0,45=45/100</v>
      </c>
    </row>
    <row r="85" spans="1:35" ht="14.25" x14ac:dyDescent="0.2">
      <c r="A85" s="20"/>
      <c r="B85" s="20"/>
      <c r="C85" s="20" t="s">
        <v>1009</v>
      </c>
      <c r="D85" s="22"/>
      <c r="E85" s="21"/>
      <c r="F85" s="24">
        <f>Source!AO36</f>
        <v>516.15</v>
      </c>
      <c r="G85" s="23" t="str">
        <f>Source!DG36</f>
        <v>)*1,15</v>
      </c>
      <c r="H85" s="21">
        <f>Source!AV36</f>
        <v>1</v>
      </c>
      <c r="I85" s="24">
        <f>ROUND((ROUND((Source!AF36*Source!AV36*Source!I36),2)),2)</f>
        <v>267.11</v>
      </c>
      <c r="J85" s="21">
        <f>IF(Source!BA36&lt;&gt; 0, Source!BA36, 1)</f>
        <v>30.1</v>
      </c>
      <c r="K85" s="24">
        <f>Source!S36</f>
        <v>8040.01</v>
      </c>
      <c r="W85">
        <f>I85</f>
        <v>267.11</v>
      </c>
    </row>
    <row r="86" spans="1:35" ht="14.25" x14ac:dyDescent="0.2">
      <c r="A86" s="20"/>
      <c r="B86" s="20"/>
      <c r="C86" s="20" t="s">
        <v>1016</v>
      </c>
      <c r="D86" s="22"/>
      <c r="E86" s="21"/>
      <c r="F86" s="24">
        <f>Source!AM36</f>
        <v>38.450000000000003</v>
      </c>
      <c r="G86" s="23" t="str">
        <f>Source!DE36</f>
        <v>)*1,25</v>
      </c>
      <c r="H86" s="21">
        <f>Source!AV36</f>
        <v>1</v>
      </c>
      <c r="I86" s="24">
        <f>(ROUND((ROUND((((Source!ET36*1.25))*Source!AV36*Source!I36),2)),2)+ROUND((ROUND(((Source!AE36-((Source!EU36*1.25)))*Source!AV36*Source!I36),2)),2))</f>
        <v>21.63</v>
      </c>
      <c r="J86" s="21">
        <f>IF(Source!BB36&lt;&gt; 0, Source!BB36, 1)</f>
        <v>14.17</v>
      </c>
      <c r="K86" s="24">
        <f>Source!Q36</f>
        <v>306.5</v>
      </c>
    </row>
    <row r="87" spans="1:35" ht="14.25" x14ac:dyDescent="0.2">
      <c r="A87" s="20"/>
      <c r="B87" s="20"/>
      <c r="C87" s="20" t="s">
        <v>1017</v>
      </c>
      <c r="D87" s="22"/>
      <c r="E87" s="21"/>
      <c r="F87" s="24">
        <f>Source!AN36</f>
        <v>8.93</v>
      </c>
      <c r="G87" s="23" t="str">
        <f>Source!DF36</f>
        <v>)*1,25</v>
      </c>
      <c r="H87" s="21">
        <f>Source!AV36</f>
        <v>1</v>
      </c>
      <c r="I87" s="32">
        <f>ROUND((ROUND((Source!AE36*Source!AV36*Source!I36),2)),2)</f>
        <v>5.0199999999999996</v>
      </c>
      <c r="J87" s="21">
        <f>IF(Source!BS36&lt;&gt; 0, Source!BS36, 1)</f>
        <v>30.1</v>
      </c>
      <c r="K87" s="32">
        <f>Source!R36</f>
        <v>151.1</v>
      </c>
      <c r="W87">
        <f>I87</f>
        <v>5.0199999999999996</v>
      </c>
    </row>
    <row r="88" spans="1:35" ht="14.25" x14ac:dyDescent="0.2">
      <c r="A88" s="20" t="s">
        <v>67</v>
      </c>
      <c r="B88" s="20" t="str">
        <f>Source!F37</f>
        <v>1.1-1-118</v>
      </c>
      <c r="C88" s="20" t="s">
        <v>69</v>
      </c>
      <c r="D88" s="22" t="str">
        <f>Source!H37</f>
        <v>м3</v>
      </c>
      <c r="E88" s="21">
        <f>Source!I37</f>
        <v>4.41E-2</v>
      </c>
      <c r="F88" s="24">
        <f>Source!AK37</f>
        <v>7.07</v>
      </c>
      <c r="G88" s="33" t="s">
        <v>3</v>
      </c>
      <c r="H88" s="21">
        <f>Source!AW37</f>
        <v>1</v>
      </c>
      <c r="I88" s="24">
        <f>ROUND((ROUND((Source!AC37*Source!AW37*Source!I37),2)),2)+(ROUND((ROUND(((Source!ET37)*Source!AV37*Source!I37),2)),2)+ROUND((ROUND(((Source!AE37-(Source!EU37))*Source!AV37*Source!I37),2)),2))+ROUND((ROUND((Source!AF37*Source!AV37*Source!I37),2)),2)</f>
        <v>0.31</v>
      </c>
      <c r="J88" s="21">
        <f>IF(Source!BC37&lt;&gt; 0, Source!BC37, 1)</f>
        <v>6</v>
      </c>
      <c r="K88" s="24">
        <f>Source!O37</f>
        <v>1.86</v>
      </c>
      <c r="Q88">
        <f>ROUND((Source!DN37/100)*ROUND((ROUND((Source!AF37*Source!AV37*Source!I37),2)),2), 2)</f>
        <v>0</v>
      </c>
      <c r="R88">
        <f>Source!X37</f>
        <v>0</v>
      </c>
      <c r="S88">
        <f>ROUND((Source!DO37/100)*ROUND((ROUND((Source!AF37*Source!AV37*Source!I37),2)),2), 2)</f>
        <v>0</v>
      </c>
      <c r="T88">
        <f>Source!Y37</f>
        <v>0</v>
      </c>
      <c r="U88">
        <f>ROUND((175/100)*ROUND((ROUND((Source!AE37*Source!AV37*Source!I37),2)),2), 2)</f>
        <v>0</v>
      </c>
      <c r="V88">
        <f>ROUND((160/100)*ROUND(ROUND((ROUND((Source!AE37*Source!AV37*Source!I37),2)*Source!BS37),2), 2), 2)</f>
        <v>0</v>
      </c>
      <c r="X88">
        <f>IF(Source!BI37&lt;=1,I88, 0)</f>
        <v>0.31</v>
      </c>
      <c r="Y88">
        <f>IF(Source!BI37=2,I88, 0)</f>
        <v>0</v>
      </c>
      <c r="Z88">
        <f>IF(Source!BI37=3,I88, 0)</f>
        <v>0</v>
      </c>
      <c r="AA88">
        <f>IF(Source!BI37=4,I88, 0)</f>
        <v>0</v>
      </c>
      <c r="AI88">
        <v>3</v>
      </c>
    </row>
    <row r="89" spans="1:35" ht="71.25" x14ac:dyDescent="0.2">
      <c r="A89" s="20" t="s">
        <v>72</v>
      </c>
      <c r="B89" s="20" t="str">
        <f>Source!F38</f>
        <v>1.3-2-29</v>
      </c>
      <c r="C89" s="20" t="s">
        <v>74</v>
      </c>
      <c r="D89" s="22" t="str">
        <f>Source!H38</f>
        <v>т</v>
      </c>
      <c r="E89" s="21">
        <f>Source!I38</f>
        <v>0.252</v>
      </c>
      <c r="F89" s="24">
        <f>Source!AK38</f>
        <v>1517.68</v>
      </c>
      <c r="G89" s="33" t="s">
        <v>3</v>
      </c>
      <c r="H89" s="21">
        <f>Source!AW38</f>
        <v>1</v>
      </c>
      <c r="I89" s="24">
        <f>ROUND((ROUND((Source!AC38*Source!AW38*Source!I38),2)),2)+(ROUND((ROUND(((Source!ET38)*Source!AV38*Source!I38),2)),2)+ROUND((ROUND(((Source!AE38-(Source!EU38))*Source!AV38*Source!I38),2)),2))+ROUND((ROUND((Source!AF38*Source!AV38*Source!I38),2)),2)</f>
        <v>382.46</v>
      </c>
      <c r="J89" s="21">
        <f>IF(Source!BC38&lt;&gt; 0, Source!BC38, 1)</f>
        <v>7.37</v>
      </c>
      <c r="K89" s="24">
        <f>Source!O38</f>
        <v>2818.73</v>
      </c>
      <c r="Q89">
        <f>ROUND((Source!DN38/100)*ROUND((ROUND((Source!AF38*Source!AV38*Source!I38),2)),2), 2)</f>
        <v>0</v>
      </c>
      <c r="R89">
        <f>Source!X38</f>
        <v>0</v>
      </c>
      <c r="S89">
        <f>ROUND((Source!DO38/100)*ROUND((ROUND((Source!AF38*Source!AV38*Source!I38),2)),2), 2)</f>
        <v>0</v>
      </c>
      <c r="T89">
        <f>Source!Y38</f>
        <v>0</v>
      </c>
      <c r="U89">
        <f>ROUND((175/100)*ROUND((ROUND((Source!AE38*Source!AV38*Source!I38),2)),2), 2)</f>
        <v>0</v>
      </c>
      <c r="V89">
        <f>ROUND((160/100)*ROUND(ROUND((ROUND((Source!AE38*Source!AV38*Source!I38),2)*Source!BS38),2), 2), 2)</f>
        <v>0</v>
      </c>
      <c r="X89">
        <f>IF(Source!BI38&lt;=1,I89, 0)</f>
        <v>382.46</v>
      </c>
      <c r="Y89">
        <f>IF(Source!BI38=2,I89, 0)</f>
        <v>0</v>
      </c>
      <c r="Z89">
        <f>IF(Source!BI38=3,I89, 0)</f>
        <v>0</v>
      </c>
      <c r="AA89">
        <f>IF(Source!BI38=4,I89, 0)</f>
        <v>0</v>
      </c>
      <c r="AI89">
        <v>3</v>
      </c>
    </row>
    <row r="90" spans="1:35" ht="28.5" x14ac:dyDescent="0.2">
      <c r="A90" s="20" t="s">
        <v>77</v>
      </c>
      <c r="B90" s="20" t="str">
        <f>Source!F39</f>
        <v>1.3-2-13</v>
      </c>
      <c r="C90" s="20" t="s">
        <v>79</v>
      </c>
      <c r="D90" s="22" t="str">
        <f>Source!H39</f>
        <v>м3</v>
      </c>
      <c r="E90" s="21">
        <f>Source!I39</f>
        <v>0.1575</v>
      </c>
      <c r="F90" s="24">
        <f>Source!AK39</f>
        <v>481.69</v>
      </c>
      <c r="G90" s="33" t="s">
        <v>3</v>
      </c>
      <c r="H90" s="21">
        <f>Source!AW39</f>
        <v>1</v>
      </c>
      <c r="I90" s="24">
        <f>ROUND((ROUND((Source!AC39*Source!AW39*Source!I39),2)),2)+(ROUND((ROUND(((Source!ET39)*Source!AV39*Source!I39),2)),2)+ROUND((ROUND(((Source!AE39-(Source!EU39))*Source!AV39*Source!I39),2)),2))+ROUND((ROUND((Source!AF39*Source!AV39*Source!I39),2)),2)</f>
        <v>75.87</v>
      </c>
      <c r="J90" s="21">
        <f>IF(Source!BC39&lt;&gt; 0, Source!BC39, 1)</f>
        <v>9.43</v>
      </c>
      <c r="K90" s="24">
        <f>Source!O39</f>
        <v>715.45</v>
      </c>
      <c r="Q90">
        <f>ROUND((Source!DN39/100)*ROUND((ROUND((Source!AF39*Source!AV39*Source!I39),2)),2), 2)</f>
        <v>0</v>
      </c>
      <c r="R90">
        <f>Source!X39</f>
        <v>0</v>
      </c>
      <c r="S90">
        <f>ROUND((Source!DO39/100)*ROUND((ROUND((Source!AF39*Source!AV39*Source!I39),2)),2), 2)</f>
        <v>0</v>
      </c>
      <c r="T90">
        <f>Source!Y39</f>
        <v>0</v>
      </c>
      <c r="U90">
        <f>ROUND((175/100)*ROUND((ROUND((Source!AE39*Source!AV39*Source!I39),2)),2), 2)</f>
        <v>0</v>
      </c>
      <c r="V90">
        <f>ROUND((160/100)*ROUND(ROUND((ROUND((Source!AE39*Source!AV39*Source!I39),2)*Source!BS39),2), 2), 2)</f>
        <v>0</v>
      </c>
      <c r="X90">
        <f>IF(Source!BI39&lt;=1,I90, 0)</f>
        <v>75.87</v>
      </c>
      <c r="Y90">
        <f>IF(Source!BI39=2,I90, 0)</f>
        <v>0</v>
      </c>
      <c r="Z90">
        <f>IF(Source!BI39=3,I90, 0)</f>
        <v>0</v>
      </c>
      <c r="AA90">
        <f>IF(Source!BI39=4,I90, 0)</f>
        <v>0</v>
      </c>
      <c r="AI90">
        <v>3</v>
      </c>
    </row>
    <row r="91" spans="1:35" ht="14.25" x14ac:dyDescent="0.2">
      <c r="A91" s="20"/>
      <c r="B91" s="20"/>
      <c r="C91" s="20" t="s">
        <v>1010</v>
      </c>
      <c r="D91" s="22" t="s">
        <v>1011</v>
      </c>
      <c r="E91" s="21">
        <f>Source!DN36</f>
        <v>100</v>
      </c>
      <c r="F91" s="24"/>
      <c r="G91" s="23"/>
      <c r="H91" s="21"/>
      <c r="I91" s="24">
        <f>SUM(Q83:Q90)</f>
        <v>267.11</v>
      </c>
      <c r="J91" s="21">
        <f>Source!BZ36</f>
        <v>83</v>
      </c>
      <c r="K91" s="24">
        <f>SUM(R83:R90)</f>
        <v>6673.21</v>
      </c>
    </row>
    <row r="92" spans="1:35" ht="14.25" x14ac:dyDescent="0.2">
      <c r="A92" s="20"/>
      <c r="B92" s="20"/>
      <c r="C92" s="20" t="s">
        <v>1012</v>
      </c>
      <c r="D92" s="22" t="s">
        <v>1011</v>
      </c>
      <c r="E92" s="21">
        <f>Source!DO36</f>
        <v>64</v>
      </c>
      <c r="F92" s="24"/>
      <c r="G92" s="23"/>
      <c r="H92" s="21"/>
      <c r="I92" s="24">
        <f>SUM(S83:S91)</f>
        <v>170.95</v>
      </c>
      <c r="J92" s="21">
        <f>Source!CA36</f>
        <v>41</v>
      </c>
      <c r="K92" s="24">
        <f>SUM(T83:T91)</f>
        <v>3296.4</v>
      </c>
    </row>
    <row r="93" spans="1:35" ht="14.25" x14ac:dyDescent="0.2">
      <c r="A93" s="20"/>
      <c r="B93" s="20"/>
      <c r="C93" s="20" t="s">
        <v>1018</v>
      </c>
      <c r="D93" s="22" t="s">
        <v>1011</v>
      </c>
      <c r="E93" s="21">
        <f>175</f>
        <v>175</v>
      </c>
      <c r="F93" s="24"/>
      <c r="G93" s="23"/>
      <c r="H93" s="21"/>
      <c r="I93" s="24">
        <f>SUM(U83:U92)</f>
        <v>8.7899999999999991</v>
      </c>
      <c r="J93" s="21">
        <f>160</f>
        <v>160</v>
      </c>
      <c r="K93" s="24">
        <f>SUM(V83:V92)</f>
        <v>241.76</v>
      </c>
    </row>
    <row r="94" spans="1:35" ht="14.25" x14ac:dyDescent="0.2">
      <c r="A94" s="26"/>
      <c r="B94" s="26"/>
      <c r="C94" s="26" t="s">
        <v>1013</v>
      </c>
      <c r="D94" s="27" t="s">
        <v>1014</v>
      </c>
      <c r="E94" s="28">
        <f>Source!AQ36</f>
        <v>45</v>
      </c>
      <c r="F94" s="29"/>
      <c r="G94" s="30" t="str">
        <f>Source!DI36</f>
        <v>)*1,15</v>
      </c>
      <c r="H94" s="28">
        <f>Source!AV36</f>
        <v>1</v>
      </c>
      <c r="I94" s="29">
        <f>Source!U36</f>
        <v>23.287499999999998</v>
      </c>
      <c r="J94" s="28"/>
      <c r="K94" s="29"/>
      <c r="AB94" s="25">
        <f>I94</f>
        <v>23.287499999999998</v>
      </c>
    </row>
    <row r="95" spans="1:35" ht="15" x14ac:dyDescent="0.25">
      <c r="C95" s="13" t="s">
        <v>1015</v>
      </c>
      <c r="H95" s="50">
        <f>I85+I86+I91+I92+I93+SUM(I88:I90)</f>
        <v>1194.23</v>
      </c>
      <c r="I95" s="50"/>
      <c r="J95" s="50">
        <f>K85+K86+K91+K92+K93+SUM(K88:K90)</f>
        <v>22093.920000000002</v>
      </c>
      <c r="K95" s="50"/>
      <c r="O95" s="25">
        <f>I85+I86+I91+I92+I93+SUM(I88:I90)</f>
        <v>1194.23</v>
      </c>
      <c r="P95" s="25">
        <f>K85+K86+K91+K92+K93+SUM(K88:K90)</f>
        <v>22093.920000000002</v>
      </c>
      <c r="X95">
        <f>IF(Source!BI36&lt;=1,I85+I86+I91+I92+I93-0, 0)</f>
        <v>735.58999999999992</v>
      </c>
      <c r="Y95">
        <f>IF(Source!BI36=2,I85+I86+I91+I92+I93-0, 0)</f>
        <v>0</v>
      </c>
      <c r="Z95">
        <f>IF(Source!BI36=3,I85+I86+I91+I92+I93-0, 0)</f>
        <v>0</v>
      </c>
      <c r="AA95">
        <f>IF(Source!BI36=4,I85+I86+I91+I92+I93,0)</f>
        <v>0</v>
      </c>
    </row>
    <row r="97" spans="1:35" ht="42.75" x14ac:dyDescent="0.2">
      <c r="A97" s="20">
        <v>6</v>
      </c>
      <c r="B97" s="20" t="str">
        <f>Source!F40</f>
        <v>3.15-176-1</v>
      </c>
      <c r="C97" s="20" t="s">
        <v>83</v>
      </c>
      <c r="D97" s="22" t="str">
        <f>Source!H40</f>
        <v>100 м2</v>
      </c>
      <c r="E97" s="21">
        <f>Source!I40</f>
        <v>0.45</v>
      </c>
      <c r="F97" s="24"/>
      <c r="G97" s="23"/>
      <c r="H97" s="21"/>
      <c r="I97" s="24"/>
      <c r="J97" s="21"/>
      <c r="K97" s="24"/>
      <c r="Q97">
        <f>ROUND((Source!DN40/100)*ROUND((ROUND((Source!AF40*Source!AV40*Source!I40),2)),2), 2)</f>
        <v>373.95</v>
      </c>
      <c r="R97">
        <f>Source!X40</f>
        <v>9342.4</v>
      </c>
      <c r="S97">
        <f>ROUND((Source!DO40/100)*ROUND((ROUND((Source!AF40*Source!AV40*Source!I40),2)),2), 2)</f>
        <v>239.33</v>
      </c>
      <c r="T97">
        <f>Source!Y40</f>
        <v>4614.92</v>
      </c>
      <c r="U97">
        <f>ROUND((175/100)*ROUND((ROUND((Source!AE40*Source!AV40*Source!I40),2)),2), 2)</f>
        <v>0.25</v>
      </c>
      <c r="V97">
        <f>ROUND((160/100)*ROUND(ROUND((ROUND((Source!AE40*Source!AV40*Source!I40),2)*Source!BS40),2), 2), 2)</f>
        <v>6.74</v>
      </c>
      <c r="AI97">
        <v>0</v>
      </c>
    </row>
    <row r="98" spans="1:35" x14ac:dyDescent="0.2">
      <c r="C98" s="31" t="str">
        <f>"Объем: "&amp;Source!I40&amp;"=45/"&amp;"100"</f>
        <v>Объем: 0,45=45/100</v>
      </c>
    </row>
    <row r="99" spans="1:35" ht="14.25" x14ac:dyDescent="0.2">
      <c r="A99" s="20"/>
      <c r="B99" s="20"/>
      <c r="C99" s="20" t="s">
        <v>1009</v>
      </c>
      <c r="D99" s="22"/>
      <c r="E99" s="21"/>
      <c r="F99" s="24">
        <f>Source!AO40</f>
        <v>722.61</v>
      </c>
      <c r="G99" s="23" t="str">
        <f>Source!DG40</f>
        <v>)*1,15</v>
      </c>
      <c r="H99" s="21">
        <f>Source!AV40</f>
        <v>1</v>
      </c>
      <c r="I99" s="24">
        <f>ROUND((ROUND((Source!AF40*Source!AV40*Source!I40),2)),2)</f>
        <v>373.95</v>
      </c>
      <c r="J99" s="21">
        <f>IF(Source!BA40&lt;&gt; 0, Source!BA40, 1)</f>
        <v>30.1</v>
      </c>
      <c r="K99" s="24">
        <f>Source!S40</f>
        <v>11255.9</v>
      </c>
      <c r="W99">
        <f>I99</f>
        <v>373.95</v>
      </c>
    </row>
    <row r="100" spans="1:35" ht="14.25" x14ac:dyDescent="0.2">
      <c r="A100" s="20"/>
      <c r="B100" s="20"/>
      <c r="C100" s="20" t="s">
        <v>1016</v>
      </c>
      <c r="D100" s="22"/>
      <c r="E100" s="21"/>
      <c r="F100" s="24">
        <f>Source!AM40</f>
        <v>1.66</v>
      </c>
      <c r="G100" s="23" t="str">
        <f>Source!DE40</f>
        <v>)*1,25</v>
      </c>
      <c r="H100" s="21">
        <f>Source!AV40</f>
        <v>1</v>
      </c>
      <c r="I100" s="24">
        <f>(ROUND((ROUND((((Source!ET40*1.25))*Source!AV40*Source!I40),2)),2)+ROUND((ROUND(((Source!AE40-((Source!EU40*1.25)))*Source!AV40*Source!I40),2)),2))</f>
        <v>0.93</v>
      </c>
      <c r="J100" s="21">
        <f>IF(Source!BB40&lt;&gt; 0, Source!BB40, 1)</f>
        <v>12.1</v>
      </c>
      <c r="K100" s="24">
        <f>Source!Q40</f>
        <v>11.25</v>
      </c>
    </row>
    <row r="101" spans="1:35" ht="14.25" x14ac:dyDescent="0.2">
      <c r="A101" s="20"/>
      <c r="B101" s="20"/>
      <c r="C101" s="20" t="s">
        <v>1017</v>
      </c>
      <c r="D101" s="22"/>
      <c r="E101" s="21"/>
      <c r="F101" s="24">
        <f>Source!AN40</f>
        <v>0.25</v>
      </c>
      <c r="G101" s="23" t="str">
        <f>Source!DF40</f>
        <v>)*1,25</v>
      </c>
      <c r="H101" s="21">
        <f>Source!AV40</f>
        <v>1</v>
      </c>
      <c r="I101" s="32">
        <f>ROUND((ROUND((Source!AE40*Source!AV40*Source!I40),2)),2)</f>
        <v>0.14000000000000001</v>
      </c>
      <c r="J101" s="21">
        <f>IF(Source!BS40&lt;&gt; 0, Source!BS40, 1)</f>
        <v>30.1</v>
      </c>
      <c r="K101" s="32">
        <f>Source!R40</f>
        <v>4.21</v>
      </c>
      <c r="W101">
        <f>I101</f>
        <v>0.14000000000000001</v>
      </c>
    </row>
    <row r="102" spans="1:35" ht="14.25" x14ac:dyDescent="0.2">
      <c r="A102" s="20"/>
      <c r="B102" s="20"/>
      <c r="C102" s="20" t="s">
        <v>1019</v>
      </c>
      <c r="D102" s="22"/>
      <c r="E102" s="21"/>
      <c r="F102" s="24">
        <f>Source!AL40</f>
        <v>855.31</v>
      </c>
      <c r="G102" s="23" t="str">
        <f>Source!DD40</f>
        <v/>
      </c>
      <c r="H102" s="21">
        <f>Source!AW40</f>
        <v>1</v>
      </c>
      <c r="I102" s="24">
        <f>ROUND((ROUND((Source!AC40*Source!AW40*Source!I40),2)),2)</f>
        <v>384.89</v>
      </c>
      <c r="J102" s="21">
        <f>IF(Source!BC40&lt;&gt; 0, Source!BC40, 1)</f>
        <v>3.01</v>
      </c>
      <c r="K102" s="24">
        <f>Source!P40</f>
        <v>1158.52</v>
      </c>
    </row>
    <row r="103" spans="1:35" ht="57" x14ac:dyDescent="0.2">
      <c r="A103" s="20" t="s">
        <v>87</v>
      </c>
      <c r="B103" s="20" t="str">
        <f>Source!F41</f>
        <v>1.1-1-2854</v>
      </c>
      <c r="C103" s="20" t="s">
        <v>57</v>
      </c>
      <c r="D103" s="22" t="str">
        <f>Source!H41</f>
        <v>кг</v>
      </c>
      <c r="E103" s="21">
        <f>Source!I41</f>
        <v>9.9</v>
      </c>
      <c r="F103" s="24">
        <f>Source!AK41</f>
        <v>28.98</v>
      </c>
      <c r="G103" s="33" t="s">
        <v>3</v>
      </c>
      <c r="H103" s="21">
        <f>Source!AW41</f>
        <v>1</v>
      </c>
      <c r="I103" s="24">
        <f>ROUND((ROUND((Source!AC41*Source!AW41*Source!I41),2)),2)+(ROUND((ROUND(((Source!ET41)*Source!AV41*Source!I41),2)),2)+ROUND((ROUND(((Source!AE41-(Source!EU41))*Source!AV41*Source!I41),2)),2))+ROUND((ROUND((Source!AF41*Source!AV41*Source!I41),2)),2)</f>
        <v>286.89999999999998</v>
      </c>
      <c r="J103" s="21">
        <f>IF(Source!BC41&lt;&gt; 0, Source!BC41, 1)</f>
        <v>3.58</v>
      </c>
      <c r="K103" s="24">
        <f>Source!O41</f>
        <v>1027.0999999999999</v>
      </c>
      <c r="Q103">
        <f>ROUND((Source!DN41/100)*ROUND((ROUND((Source!AF41*Source!AV41*Source!I41),2)),2), 2)</f>
        <v>0</v>
      </c>
      <c r="R103">
        <f>Source!X41</f>
        <v>0</v>
      </c>
      <c r="S103">
        <f>ROUND((Source!DO41/100)*ROUND((ROUND((Source!AF41*Source!AV41*Source!I41),2)),2), 2)</f>
        <v>0</v>
      </c>
      <c r="T103">
        <f>Source!Y41</f>
        <v>0</v>
      </c>
      <c r="U103">
        <f>ROUND((175/100)*ROUND((ROUND((Source!AE41*Source!AV41*Source!I41),2)),2), 2)</f>
        <v>0</v>
      </c>
      <c r="V103">
        <f>ROUND((160/100)*ROUND(ROUND((ROUND((Source!AE41*Source!AV41*Source!I41),2)*Source!BS41),2), 2), 2)</f>
        <v>0</v>
      </c>
      <c r="X103">
        <f>IF(Source!BI41&lt;=1,I103, 0)</f>
        <v>286.89999999999998</v>
      </c>
      <c r="Y103">
        <f>IF(Source!BI41=2,I103, 0)</f>
        <v>0</v>
      </c>
      <c r="Z103">
        <f>IF(Source!BI41=3,I103, 0)</f>
        <v>0</v>
      </c>
      <c r="AA103">
        <f>IF(Source!BI41=4,I103, 0)</f>
        <v>0</v>
      </c>
      <c r="AI103">
        <v>3</v>
      </c>
    </row>
    <row r="104" spans="1:35" ht="213.75" x14ac:dyDescent="0.2">
      <c r="A104" s="20" t="s">
        <v>88</v>
      </c>
      <c r="B104" s="20" t="str">
        <f>Source!F42</f>
        <v>1.1-1-3932</v>
      </c>
      <c r="C104" s="20" t="s">
        <v>976</v>
      </c>
      <c r="D104" s="22" t="str">
        <f>Source!H42</f>
        <v>кг</v>
      </c>
      <c r="E104" s="21">
        <f>Source!I42</f>
        <v>14.85</v>
      </c>
      <c r="F104" s="24">
        <f>Source!AK42</f>
        <v>108.25</v>
      </c>
      <c r="G104" s="33" t="s">
        <v>3</v>
      </c>
      <c r="H104" s="21">
        <f>Source!AW42</f>
        <v>1</v>
      </c>
      <c r="I104" s="24">
        <f>ROUND((ROUND((Source!AC42*Source!AW42*Source!I42),2)),2)+(ROUND((ROUND(((Source!ET42)*Source!AV42*Source!I42),2)),2)+ROUND((ROUND(((Source!AE42-(Source!EU42))*Source!AV42*Source!I42),2)),2))+ROUND((ROUND((Source!AF42*Source!AV42*Source!I42),2)),2)</f>
        <v>1607.51</v>
      </c>
      <c r="J104" s="21">
        <f>IF(Source!BC42&lt;&gt; 0, Source!BC42, 1)</f>
        <v>4.74</v>
      </c>
      <c r="K104" s="24">
        <f>Source!O42</f>
        <v>7619.6</v>
      </c>
      <c r="Q104">
        <f>ROUND((Source!DN42/100)*ROUND((ROUND((Source!AF42*Source!AV42*Source!I42),2)),2), 2)</f>
        <v>0</v>
      </c>
      <c r="R104">
        <f>Source!X42</f>
        <v>0</v>
      </c>
      <c r="S104">
        <f>ROUND((Source!DO42/100)*ROUND((ROUND((Source!AF42*Source!AV42*Source!I42),2)),2), 2)</f>
        <v>0</v>
      </c>
      <c r="T104">
        <f>Source!Y42</f>
        <v>0</v>
      </c>
      <c r="U104">
        <f>ROUND((175/100)*ROUND((ROUND((Source!AE42*Source!AV42*Source!I42),2)),2), 2)</f>
        <v>0</v>
      </c>
      <c r="V104">
        <f>ROUND((160/100)*ROUND(ROUND((ROUND((Source!AE42*Source!AV42*Source!I42),2)*Source!BS42),2), 2), 2)</f>
        <v>0</v>
      </c>
      <c r="X104">
        <f>IF(Source!BI42&lt;=1,I104, 0)</f>
        <v>1607.51</v>
      </c>
      <c r="Y104">
        <f>IF(Source!BI42=2,I104, 0)</f>
        <v>0</v>
      </c>
      <c r="Z104">
        <f>IF(Source!BI42=3,I104, 0)</f>
        <v>0</v>
      </c>
      <c r="AA104">
        <f>IF(Source!BI42=4,I104, 0)</f>
        <v>0</v>
      </c>
      <c r="AI104">
        <v>3</v>
      </c>
    </row>
    <row r="105" spans="1:35" ht="14.25" x14ac:dyDescent="0.2">
      <c r="A105" s="20"/>
      <c r="B105" s="20"/>
      <c r="C105" s="20" t="s">
        <v>1010</v>
      </c>
      <c r="D105" s="22" t="s">
        <v>1011</v>
      </c>
      <c r="E105" s="21">
        <f>Source!DN40</f>
        <v>100</v>
      </c>
      <c r="F105" s="24"/>
      <c r="G105" s="23"/>
      <c r="H105" s="21"/>
      <c r="I105" s="24">
        <f>SUM(Q97:Q104)</f>
        <v>373.95</v>
      </c>
      <c r="J105" s="21">
        <f>Source!BZ40</f>
        <v>83</v>
      </c>
      <c r="K105" s="24">
        <f>SUM(R97:R104)</f>
        <v>9342.4</v>
      </c>
    </row>
    <row r="106" spans="1:35" ht="14.25" x14ac:dyDescent="0.2">
      <c r="A106" s="20"/>
      <c r="B106" s="20"/>
      <c r="C106" s="20" t="s">
        <v>1012</v>
      </c>
      <c r="D106" s="22" t="s">
        <v>1011</v>
      </c>
      <c r="E106" s="21">
        <f>Source!DO40</f>
        <v>64</v>
      </c>
      <c r="F106" s="24"/>
      <c r="G106" s="23"/>
      <c r="H106" s="21"/>
      <c r="I106" s="24">
        <f>SUM(S97:S105)</f>
        <v>239.33</v>
      </c>
      <c r="J106" s="21">
        <f>Source!CA40</f>
        <v>41</v>
      </c>
      <c r="K106" s="24">
        <f>SUM(T97:T105)</f>
        <v>4614.92</v>
      </c>
    </row>
    <row r="107" spans="1:35" ht="14.25" x14ac:dyDescent="0.2">
      <c r="A107" s="20"/>
      <c r="B107" s="20"/>
      <c r="C107" s="20" t="s">
        <v>1018</v>
      </c>
      <c r="D107" s="22" t="s">
        <v>1011</v>
      </c>
      <c r="E107" s="21">
        <f>175</f>
        <v>175</v>
      </c>
      <c r="F107" s="24"/>
      <c r="G107" s="23"/>
      <c r="H107" s="21"/>
      <c r="I107" s="24">
        <f>SUM(U97:U106)</f>
        <v>0.25</v>
      </c>
      <c r="J107" s="21">
        <f>160</f>
        <v>160</v>
      </c>
      <c r="K107" s="24">
        <f>SUM(V97:V106)</f>
        <v>6.74</v>
      </c>
    </row>
    <row r="108" spans="1:35" ht="14.25" x14ac:dyDescent="0.2">
      <c r="A108" s="26"/>
      <c r="B108" s="26"/>
      <c r="C108" s="26" t="s">
        <v>1013</v>
      </c>
      <c r="D108" s="27" t="s">
        <v>1014</v>
      </c>
      <c r="E108" s="28">
        <f>Source!AQ40</f>
        <v>63</v>
      </c>
      <c r="F108" s="29"/>
      <c r="G108" s="30" t="str">
        <f>Source!DI40</f>
        <v>)*1,15</v>
      </c>
      <c r="H108" s="28">
        <f>Source!AV40</f>
        <v>1</v>
      </c>
      <c r="I108" s="29">
        <f>Source!U40</f>
        <v>32.602499999999999</v>
      </c>
      <c r="J108" s="28"/>
      <c r="K108" s="29"/>
      <c r="AB108" s="25">
        <f>I108</f>
        <v>32.602499999999999</v>
      </c>
    </row>
    <row r="109" spans="1:35" ht="15" x14ac:dyDescent="0.25">
      <c r="C109" s="13" t="s">
        <v>1015</v>
      </c>
      <c r="H109" s="50">
        <f>I99+I100+I102+I105+I106+I107+SUM(I103:I104)</f>
        <v>3267.71</v>
      </c>
      <c r="I109" s="50"/>
      <c r="J109" s="50">
        <f>K99+K100+K102+K105+K106+K107+SUM(K103:K104)</f>
        <v>35036.43</v>
      </c>
      <c r="K109" s="50"/>
      <c r="O109" s="25">
        <f>I99+I100+I102+I105+I106+I107+SUM(I103:I104)</f>
        <v>3267.71</v>
      </c>
      <c r="P109" s="25">
        <f>K99+K100+K102+K105+K106+K107+SUM(K103:K104)</f>
        <v>35036.43</v>
      </c>
      <c r="X109">
        <f>IF(Source!BI40&lt;=1,I99+I100+I102+I105+I106+I107-0, 0)</f>
        <v>1373.3</v>
      </c>
      <c r="Y109">
        <f>IF(Source!BI40=2,I99+I100+I102+I105+I106+I107-0, 0)</f>
        <v>0</v>
      </c>
      <c r="Z109">
        <f>IF(Source!BI40=3,I99+I100+I102+I105+I106+I107-0, 0)</f>
        <v>0</v>
      </c>
      <c r="AA109">
        <f>IF(Source!BI40=4,I99+I100+I102+I105+I106+I107,0)</f>
        <v>0</v>
      </c>
    </row>
    <row r="111" spans="1:35" ht="28.5" x14ac:dyDescent="0.2">
      <c r="A111" s="20">
        <v>7</v>
      </c>
      <c r="B111" s="20" t="str">
        <f>Source!F43</f>
        <v>3.15-199-1</v>
      </c>
      <c r="C111" s="20" t="s">
        <v>93</v>
      </c>
      <c r="D111" s="22" t="str">
        <f>Source!H43</f>
        <v>100 м2</v>
      </c>
      <c r="E111" s="21">
        <f>Source!I43</f>
        <v>0.35</v>
      </c>
      <c r="F111" s="24"/>
      <c r="G111" s="23"/>
      <c r="H111" s="21"/>
      <c r="I111" s="24"/>
      <c r="J111" s="21"/>
      <c r="K111" s="24"/>
      <c r="Q111">
        <f>ROUND((Source!DN43/100)*ROUND((ROUND((Source!AF43*Source!AV43*Source!I43),2)),2), 2)</f>
        <v>455.99</v>
      </c>
      <c r="R111">
        <f>Source!X43</f>
        <v>11303.22</v>
      </c>
      <c r="S111">
        <f>ROUND((Source!DO43/100)*ROUND((ROUND((Source!AF43*Source!AV43*Source!I43),2)),2), 2)</f>
        <v>375.52</v>
      </c>
      <c r="T111">
        <f>Source!Y43</f>
        <v>6620.45</v>
      </c>
      <c r="U111">
        <f>ROUND((175/100)*ROUND((ROUND((Source!AE43*Source!AV43*Source!I43),2)),2), 2)</f>
        <v>4.5999999999999996</v>
      </c>
      <c r="V111">
        <f>ROUND((160/100)*ROUND(ROUND((ROUND((Source!AE43*Source!AV43*Source!I43),2)*Source!BS43),2), 2), 2)</f>
        <v>126.66</v>
      </c>
      <c r="AI111">
        <v>0</v>
      </c>
    </row>
    <row r="112" spans="1:35" x14ac:dyDescent="0.2">
      <c r="C112" s="31" t="str">
        <f>"Объем: "&amp;Source!I43&amp;"=35/"&amp;"100"</f>
        <v>Объем: 0,35=35/100</v>
      </c>
    </row>
    <row r="113" spans="1:35" ht="14.25" x14ac:dyDescent="0.2">
      <c r="A113" s="20"/>
      <c r="B113" s="20"/>
      <c r="C113" s="20" t="s">
        <v>1009</v>
      </c>
      <c r="D113" s="22"/>
      <c r="E113" s="21"/>
      <c r="F113" s="24">
        <f>Source!AO43</f>
        <v>1332.83</v>
      </c>
      <c r="G113" s="23" t="str">
        <f>Source!DG43</f>
        <v>)*1,15</v>
      </c>
      <c r="H113" s="21">
        <f>Source!AV43</f>
        <v>1</v>
      </c>
      <c r="I113" s="24">
        <f>ROUND((ROUND((Source!AF43*Source!AV43*Source!I43),2)),2)</f>
        <v>536.46</v>
      </c>
      <c r="J113" s="21">
        <f>IF(Source!BA43&lt;&gt; 0, Source!BA43, 1)</f>
        <v>30.1</v>
      </c>
      <c r="K113" s="24">
        <f>Source!S43</f>
        <v>16147.45</v>
      </c>
      <c r="W113">
        <f>I113</f>
        <v>536.46</v>
      </c>
    </row>
    <row r="114" spans="1:35" ht="14.25" x14ac:dyDescent="0.2">
      <c r="A114" s="20"/>
      <c r="B114" s="20"/>
      <c r="C114" s="20" t="s">
        <v>1016</v>
      </c>
      <c r="D114" s="22"/>
      <c r="E114" s="21"/>
      <c r="F114" s="24">
        <f>Source!AM43</f>
        <v>121.23</v>
      </c>
      <c r="G114" s="23" t="str">
        <f>Source!DE43</f>
        <v>)*1,25</v>
      </c>
      <c r="H114" s="21">
        <f>Source!AV43</f>
        <v>1</v>
      </c>
      <c r="I114" s="24">
        <f>(ROUND((ROUND((((Source!ET43*1.25))*Source!AV43*Source!I43),2)),2)+ROUND((ROUND(((Source!AE43-((Source!EU43*1.25)))*Source!AV43*Source!I43),2)),2))</f>
        <v>53.04</v>
      </c>
      <c r="J114" s="21">
        <f>IF(Source!BB43&lt;&gt; 0, Source!BB43, 1)</f>
        <v>9.9600000000000009</v>
      </c>
      <c r="K114" s="24">
        <f>Source!Q43</f>
        <v>528.28</v>
      </c>
    </row>
    <row r="115" spans="1:35" ht="14.25" x14ac:dyDescent="0.2">
      <c r="A115" s="20"/>
      <c r="B115" s="20"/>
      <c r="C115" s="20" t="s">
        <v>1017</v>
      </c>
      <c r="D115" s="22"/>
      <c r="E115" s="21"/>
      <c r="F115" s="24">
        <f>Source!AN43</f>
        <v>6</v>
      </c>
      <c r="G115" s="23" t="str">
        <f>Source!DF43</f>
        <v>)*1,25</v>
      </c>
      <c r="H115" s="21">
        <f>Source!AV43</f>
        <v>1</v>
      </c>
      <c r="I115" s="32">
        <f>ROUND((ROUND((Source!AE43*Source!AV43*Source!I43),2)),2)</f>
        <v>2.63</v>
      </c>
      <c r="J115" s="21">
        <f>IF(Source!BS43&lt;&gt; 0, Source!BS43, 1)</f>
        <v>30.1</v>
      </c>
      <c r="K115" s="32">
        <f>Source!R43</f>
        <v>79.16</v>
      </c>
      <c r="W115">
        <f>I115</f>
        <v>2.63</v>
      </c>
    </row>
    <row r="116" spans="1:35" ht="57" x14ac:dyDescent="0.2">
      <c r="A116" s="20" t="s">
        <v>97</v>
      </c>
      <c r="B116" s="20" t="str">
        <f>Source!F44</f>
        <v>1.6-2-106</v>
      </c>
      <c r="C116" s="20" t="s">
        <v>99</v>
      </c>
      <c r="D116" s="22" t="str">
        <f>Source!H44</f>
        <v>м2</v>
      </c>
      <c r="E116" s="21">
        <f>Source!I44</f>
        <v>35</v>
      </c>
      <c r="F116" s="24">
        <f>Source!AK44</f>
        <v>169.87</v>
      </c>
      <c r="G116" s="33" t="s">
        <v>3</v>
      </c>
      <c r="H116" s="21">
        <f>Source!AW44</f>
        <v>1</v>
      </c>
      <c r="I116" s="24">
        <f>ROUND((ROUND((Source!AC44*Source!AW44*Source!I44),2)),2)+(ROUND((ROUND(((Source!ET44)*Source!AV44*Source!I44),2)),2)+ROUND((ROUND(((Source!AE44-(Source!EU44))*Source!AV44*Source!I44),2)),2))+ROUND((ROUND((Source!AF44*Source!AV44*Source!I44),2)),2)</f>
        <v>5945.45</v>
      </c>
      <c r="J116" s="21">
        <f>IF(Source!BC44&lt;&gt; 0, Source!BC44, 1)</f>
        <v>4.7699999999999996</v>
      </c>
      <c r="K116" s="24">
        <f>Source!O44</f>
        <v>28359.8</v>
      </c>
      <c r="Q116">
        <f>ROUND((Source!DN44/100)*ROUND((ROUND((Source!AF44*Source!AV44*Source!I44),2)),2), 2)</f>
        <v>0</v>
      </c>
      <c r="R116">
        <f>Source!X44</f>
        <v>0</v>
      </c>
      <c r="S116">
        <f>ROUND((Source!DO44/100)*ROUND((ROUND((Source!AF44*Source!AV44*Source!I44),2)),2), 2)</f>
        <v>0</v>
      </c>
      <c r="T116">
        <f>Source!Y44</f>
        <v>0</v>
      </c>
      <c r="U116">
        <f>ROUND((175/100)*ROUND((ROUND((Source!AE44*Source!AV44*Source!I44),2)),2), 2)</f>
        <v>0</v>
      </c>
      <c r="V116">
        <f>ROUND((160/100)*ROUND(ROUND((ROUND((Source!AE44*Source!AV44*Source!I44),2)*Source!BS44),2), 2), 2)</f>
        <v>0</v>
      </c>
      <c r="X116">
        <f>IF(Source!BI44&lt;=1,I116, 0)</f>
        <v>5945.45</v>
      </c>
      <c r="Y116">
        <f>IF(Source!BI44=2,I116, 0)</f>
        <v>0</v>
      </c>
      <c r="Z116">
        <f>IF(Source!BI44=3,I116, 0)</f>
        <v>0</v>
      </c>
      <c r="AA116">
        <f>IF(Source!BI44=4,I116, 0)</f>
        <v>0</v>
      </c>
      <c r="AI116">
        <v>3</v>
      </c>
    </row>
    <row r="117" spans="1:35" ht="14.25" x14ac:dyDescent="0.2">
      <c r="A117" s="20"/>
      <c r="B117" s="20"/>
      <c r="C117" s="20" t="s">
        <v>1010</v>
      </c>
      <c r="D117" s="22" t="s">
        <v>1011</v>
      </c>
      <c r="E117" s="21">
        <f>Source!DN43</f>
        <v>85</v>
      </c>
      <c r="F117" s="24"/>
      <c r="G117" s="23"/>
      <c r="H117" s="21"/>
      <c r="I117" s="24">
        <f>SUM(Q111:Q116)</f>
        <v>455.99</v>
      </c>
      <c r="J117" s="21">
        <f>Source!BZ43</f>
        <v>70</v>
      </c>
      <c r="K117" s="24">
        <f>SUM(R111:R116)</f>
        <v>11303.22</v>
      </c>
    </row>
    <row r="118" spans="1:35" ht="14.25" x14ac:dyDescent="0.2">
      <c r="A118" s="20"/>
      <c r="B118" s="20"/>
      <c r="C118" s="20" t="s">
        <v>1012</v>
      </c>
      <c r="D118" s="22" t="s">
        <v>1011</v>
      </c>
      <c r="E118" s="21">
        <f>Source!DO43</f>
        <v>70</v>
      </c>
      <c r="F118" s="24"/>
      <c r="G118" s="23"/>
      <c r="H118" s="21"/>
      <c r="I118" s="24">
        <f>SUM(S111:S117)</f>
        <v>375.52</v>
      </c>
      <c r="J118" s="21">
        <f>Source!CA43</f>
        <v>41</v>
      </c>
      <c r="K118" s="24">
        <f>SUM(T111:T117)</f>
        <v>6620.45</v>
      </c>
    </row>
    <row r="119" spans="1:35" ht="14.25" x14ac:dyDescent="0.2">
      <c r="A119" s="20"/>
      <c r="B119" s="20"/>
      <c r="C119" s="20" t="s">
        <v>1018</v>
      </c>
      <c r="D119" s="22" t="s">
        <v>1011</v>
      </c>
      <c r="E119" s="21">
        <f>175</f>
        <v>175</v>
      </c>
      <c r="F119" s="24"/>
      <c r="G119" s="23"/>
      <c r="H119" s="21"/>
      <c r="I119" s="24">
        <f>SUM(U111:U118)</f>
        <v>4.5999999999999996</v>
      </c>
      <c r="J119" s="21">
        <f>160</f>
        <v>160</v>
      </c>
      <c r="K119" s="24">
        <f>SUM(V111:V118)</f>
        <v>126.66</v>
      </c>
    </row>
    <row r="120" spans="1:35" ht="14.25" x14ac:dyDescent="0.2">
      <c r="A120" s="26"/>
      <c r="B120" s="26"/>
      <c r="C120" s="26" t="s">
        <v>1013</v>
      </c>
      <c r="D120" s="27" t="s">
        <v>1014</v>
      </c>
      <c r="E120" s="28">
        <f>Source!AQ43</f>
        <v>108.36</v>
      </c>
      <c r="F120" s="29"/>
      <c r="G120" s="30" t="str">
        <f>Source!DI43</f>
        <v>)*1,15</v>
      </c>
      <c r="H120" s="28">
        <f>Source!AV43</f>
        <v>1</v>
      </c>
      <c r="I120" s="29">
        <f>Source!U43</f>
        <v>43.614899999999992</v>
      </c>
      <c r="J120" s="28"/>
      <c r="K120" s="29"/>
      <c r="AB120" s="25">
        <f>I120</f>
        <v>43.614899999999992</v>
      </c>
    </row>
    <row r="121" spans="1:35" ht="15" x14ac:dyDescent="0.25">
      <c r="C121" s="13" t="s">
        <v>1015</v>
      </c>
      <c r="H121" s="50">
        <f>I113+I114+I117+I118+I119+SUM(I116:I116)</f>
        <v>7371.0599999999995</v>
      </c>
      <c r="I121" s="50"/>
      <c r="J121" s="50">
        <f>K113+K114+K117+K118+K119+SUM(K116:K116)</f>
        <v>63085.86</v>
      </c>
      <c r="K121" s="50"/>
      <c r="O121" s="25">
        <f>I113+I114+I117+I118+I119+SUM(I116:I116)</f>
        <v>7371.0599999999995</v>
      </c>
      <c r="P121" s="25">
        <f>K113+K114+K117+K118+K119+SUM(K116:K116)</f>
        <v>63085.86</v>
      </c>
      <c r="X121">
        <f>IF(Source!BI43&lt;=1,I113+I114+I117+I118+I119-0, 0)</f>
        <v>1425.61</v>
      </c>
      <c r="Y121">
        <f>IF(Source!BI43=2,I113+I114+I117+I118+I119-0, 0)</f>
        <v>0</v>
      </c>
      <c r="Z121">
        <f>IF(Source!BI43=3,I113+I114+I117+I118+I119-0, 0)</f>
        <v>0</v>
      </c>
      <c r="AA121">
        <f>IF(Source!BI43=4,I113+I114+I117+I118+I119,0)</f>
        <v>0</v>
      </c>
    </row>
    <row r="123" spans="1:35" ht="71.25" x14ac:dyDescent="0.2">
      <c r="A123" s="20">
        <v>8</v>
      </c>
      <c r="B123" s="20" t="str">
        <f>Source!F47</f>
        <v>3.15-29-1</v>
      </c>
      <c r="C123" s="20" t="s">
        <v>109</v>
      </c>
      <c r="D123" s="22" t="str">
        <f>Source!H47</f>
        <v>100 м2</v>
      </c>
      <c r="E123" s="21">
        <f>Source!I47</f>
        <v>0.4</v>
      </c>
      <c r="F123" s="24"/>
      <c r="G123" s="23"/>
      <c r="H123" s="21"/>
      <c r="I123" s="24"/>
      <c r="J123" s="21"/>
      <c r="K123" s="24"/>
      <c r="Q123">
        <f>ROUND((Source!DN47/100)*ROUND((ROUND((Source!AF47*Source!AV47*Source!I47),2)),2), 2)</f>
        <v>963.42</v>
      </c>
      <c r="R123">
        <f>Source!X47</f>
        <v>24069.119999999999</v>
      </c>
      <c r="S123">
        <f>ROUND((Source!DO47/100)*ROUND((ROUND((Source!AF47*Source!AV47*Source!I47),2)),2), 2)</f>
        <v>616.59</v>
      </c>
      <c r="T123">
        <f>Source!Y47</f>
        <v>11889.57</v>
      </c>
      <c r="U123">
        <f>ROUND((175/100)*ROUND((ROUND((Source!AE47*Source!AV47*Source!I47),2)),2), 2)</f>
        <v>1.66</v>
      </c>
      <c r="V123">
        <f>ROUND((160/100)*ROUND(ROUND((ROUND((Source!AE47*Source!AV47*Source!I47),2)*Source!BS47),2), 2), 2)</f>
        <v>45.76</v>
      </c>
      <c r="AI123">
        <v>0</v>
      </c>
    </row>
    <row r="124" spans="1:35" x14ac:dyDescent="0.2">
      <c r="C124" s="31" t="str">
        <f>"Объем: "&amp;Source!I47&amp;"=40/"&amp;"100"</f>
        <v>Объем: 0,4=40/100</v>
      </c>
    </row>
    <row r="125" spans="1:35" ht="14.25" x14ac:dyDescent="0.2">
      <c r="A125" s="20"/>
      <c r="B125" s="20"/>
      <c r="C125" s="20" t="s">
        <v>1009</v>
      </c>
      <c r="D125" s="22"/>
      <c r="E125" s="21"/>
      <c r="F125" s="24">
        <f>Source!AO47</f>
        <v>2094.4</v>
      </c>
      <c r="G125" s="23" t="str">
        <f>Source!DG47</f>
        <v>)*1,15</v>
      </c>
      <c r="H125" s="21">
        <f>Source!AV47</f>
        <v>1</v>
      </c>
      <c r="I125" s="24">
        <f>ROUND((ROUND((Source!AF47*Source!AV47*Source!I47),2)),2)</f>
        <v>963.42</v>
      </c>
      <c r="J125" s="21">
        <f>IF(Source!BA47&lt;&gt; 0, Source!BA47, 1)</f>
        <v>30.1</v>
      </c>
      <c r="K125" s="24">
        <f>Source!S47</f>
        <v>28998.94</v>
      </c>
      <c r="W125">
        <f>I125</f>
        <v>963.42</v>
      </c>
    </row>
    <row r="126" spans="1:35" ht="14.25" x14ac:dyDescent="0.2">
      <c r="A126" s="20"/>
      <c r="B126" s="20"/>
      <c r="C126" s="20" t="s">
        <v>1016</v>
      </c>
      <c r="D126" s="22"/>
      <c r="E126" s="21"/>
      <c r="F126" s="24">
        <f>Source!AM47</f>
        <v>17.48</v>
      </c>
      <c r="G126" s="23" t="str">
        <f>Source!DE47</f>
        <v>)*1,25</v>
      </c>
      <c r="H126" s="21">
        <f>Source!AV47</f>
        <v>1</v>
      </c>
      <c r="I126" s="24">
        <f>(ROUND((ROUND((((Source!ET47*1.25))*Source!AV47*Source!I47),2)),2)+ROUND((ROUND(((Source!AE47-((Source!EU47*1.25)))*Source!AV47*Source!I47),2)),2))</f>
        <v>8.74</v>
      </c>
      <c r="J126" s="21">
        <f>IF(Source!BB47&lt;&gt; 0, Source!BB47, 1)</f>
        <v>11.04</v>
      </c>
      <c r="K126" s="24">
        <f>Source!Q47</f>
        <v>96.49</v>
      </c>
    </row>
    <row r="127" spans="1:35" ht="14.25" x14ac:dyDescent="0.2">
      <c r="A127" s="20"/>
      <c r="B127" s="20"/>
      <c r="C127" s="20" t="s">
        <v>1017</v>
      </c>
      <c r="D127" s="22"/>
      <c r="E127" s="21"/>
      <c r="F127" s="24">
        <f>Source!AN47</f>
        <v>1.89</v>
      </c>
      <c r="G127" s="23" t="str">
        <f>Source!DF47</f>
        <v>)*1,25</v>
      </c>
      <c r="H127" s="21">
        <f>Source!AV47</f>
        <v>1</v>
      </c>
      <c r="I127" s="32">
        <f>ROUND((ROUND((Source!AE47*Source!AV47*Source!I47),2)),2)</f>
        <v>0.95</v>
      </c>
      <c r="J127" s="21">
        <f>IF(Source!BS47&lt;&gt; 0, Source!BS47, 1)</f>
        <v>30.1</v>
      </c>
      <c r="K127" s="32">
        <f>Source!R47</f>
        <v>28.6</v>
      </c>
      <c r="W127">
        <f>I127</f>
        <v>0.95</v>
      </c>
    </row>
    <row r="128" spans="1:35" ht="14.25" x14ac:dyDescent="0.2">
      <c r="A128" s="20"/>
      <c r="B128" s="20"/>
      <c r="C128" s="20" t="s">
        <v>1019</v>
      </c>
      <c r="D128" s="22"/>
      <c r="E128" s="21"/>
      <c r="F128" s="24">
        <f>Source!AL47</f>
        <v>102.01</v>
      </c>
      <c r="G128" s="23" t="str">
        <f>Source!DD47</f>
        <v/>
      </c>
      <c r="H128" s="21">
        <f>Source!AW47</f>
        <v>1</v>
      </c>
      <c r="I128" s="24">
        <f>ROUND((ROUND((Source!AC47*Source!AW47*Source!I47),2)),2)</f>
        <v>40.799999999999997</v>
      </c>
      <c r="J128" s="21">
        <f>IF(Source!BC47&lt;&gt; 0, Source!BC47, 1)</f>
        <v>7.09</v>
      </c>
      <c r="K128" s="24">
        <f>Source!P47</f>
        <v>289.27</v>
      </c>
    </row>
    <row r="129" spans="1:35" ht="28.5" x14ac:dyDescent="0.2">
      <c r="A129" s="20" t="s">
        <v>113</v>
      </c>
      <c r="B129" s="20" t="str">
        <f>Source!F48</f>
        <v>1.1-1-863</v>
      </c>
      <c r="C129" s="20" t="s">
        <v>115</v>
      </c>
      <c r="D129" s="22" t="str">
        <f>Source!H48</f>
        <v>КОМПЛЕКТ</v>
      </c>
      <c r="E129" s="21">
        <f>Source!I48</f>
        <v>40</v>
      </c>
      <c r="F129" s="24">
        <f>Source!AK48</f>
        <v>21.28</v>
      </c>
      <c r="G129" s="33" t="s">
        <v>3</v>
      </c>
      <c r="H129" s="21">
        <f>Source!AW48</f>
        <v>1</v>
      </c>
      <c r="I129" s="24">
        <f>ROUND((ROUND((Source!AC48*Source!AW48*Source!I48),2)),2)+(ROUND((ROUND(((Source!ET48)*Source!AV48*Source!I48),2)),2)+ROUND((ROUND(((Source!AE48-(Source!EU48))*Source!AV48*Source!I48),2)),2))+ROUND((ROUND((Source!AF48*Source!AV48*Source!I48),2)),2)</f>
        <v>851.2</v>
      </c>
      <c r="J129" s="21">
        <f>IF(Source!BC48&lt;&gt; 0, Source!BC48, 1)</f>
        <v>4.76</v>
      </c>
      <c r="K129" s="24">
        <f>Source!O48</f>
        <v>4051.71</v>
      </c>
      <c r="Q129">
        <f>ROUND((Source!DN48/100)*ROUND((ROUND((Source!AF48*Source!AV48*Source!I48),2)),2), 2)</f>
        <v>0</v>
      </c>
      <c r="R129">
        <f>Source!X48</f>
        <v>0</v>
      </c>
      <c r="S129">
        <f>ROUND((Source!DO48/100)*ROUND((ROUND((Source!AF48*Source!AV48*Source!I48),2)),2), 2)</f>
        <v>0</v>
      </c>
      <c r="T129">
        <f>Source!Y48</f>
        <v>0</v>
      </c>
      <c r="U129">
        <f>ROUND((175/100)*ROUND((ROUND((Source!AE48*Source!AV48*Source!I48),2)),2), 2)</f>
        <v>0</v>
      </c>
      <c r="V129">
        <f>ROUND((160/100)*ROUND(ROUND((ROUND((Source!AE48*Source!AV48*Source!I48),2)*Source!BS48),2), 2), 2)</f>
        <v>0</v>
      </c>
      <c r="X129">
        <f>IF(Source!BI48&lt;=1,I129, 0)</f>
        <v>851.2</v>
      </c>
      <c r="Y129">
        <f>IF(Source!BI48=2,I129, 0)</f>
        <v>0</v>
      </c>
      <c r="Z129">
        <f>IF(Source!BI48=3,I129, 0)</f>
        <v>0</v>
      </c>
      <c r="AA129">
        <f>IF(Source!BI48=4,I129, 0)</f>
        <v>0</v>
      </c>
      <c r="AI129">
        <v>3</v>
      </c>
    </row>
    <row r="130" spans="1:35" ht="99.75" x14ac:dyDescent="0.2">
      <c r="A130" s="20" t="s">
        <v>118</v>
      </c>
      <c r="B130" s="20" t="str">
        <f>Source!F49</f>
        <v>1.1-1-2105</v>
      </c>
      <c r="C130" s="20" t="s">
        <v>120</v>
      </c>
      <c r="D130" s="22" t="str">
        <f>Source!H49</f>
        <v>м2</v>
      </c>
      <c r="E130" s="21">
        <f>Source!I49</f>
        <v>34</v>
      </c>
      <c r="F130" s="24">
        <f>Source!AK49</f>
        <v>138.88999999999999</v>
      </c>
      <c r="G130" s="33" t="s">
        <v>3</v>
      </c>
      <c r="H130" s="21">
        <f>Source!AW49</f>
        <v>1</v>
      </c>
      <c r="I130" s="24">
        <f>ROUND((ROUND((Source!AC49*Source!AW49*Source!I49),2)),2)+(ROUND((ROUND(((Source!ET49)*Source!AV49*Source!I49),2)),2)+ROUND((ROUND(((Source!AE49-(Source!EU49))*Source!AV49*Source!I49),2)),2))+ROUND((ROUND((Source!AF49*Source!AV49*Source!I49),2)),2)</f>
        <v>4722.26</v>
      </c>
      <c r="J130" s="21">
        <f>IF(Source!BC49&lt;&gt; 0, Source!BC49, 1)</f>
        <v>8.07</v>
      </c>
      <c r="K130" s="24">
        <f>Source!O49</f>
        <v>38108.639999999999</v>
      </c>
      <c r="Q130">
        <f>ROUND((Source!DN49/100)*ROUND((ROUND((Source!AF49*Source!AV49*Source!I49),2)),2), 2)</f>
        <v>0</v>
      </c>
      <c r="R130">
        <f>Source!X49</f>
        <v>0</v>
      </c>
      <c r="S130">
        <f>ROUND((Source!DO49/100)*ROUND((ROUND((Source!AF49*Source!AV49*Source!I49),2)),2), 2)</f>
        <v>0</v>
      </c>
      <c r="T130">
        <f>Source!Y49</f>
        <v>0</v>
      </c>
      <c r="U130">
        <f>ROUND((175/100)*ROUND((ROUND((Source!AE49*Source!AV49*Source!I49),2)),2), 2)</f>
        <v>0</v>
      </c>
      <c r="V130">
        <f>ROUND((160/100)*ROUND(ROUND((ROUND((Source!AE49*Source!AV49*Source!I49),2)*Source!BS49),2), 2), 2)</f>
        <v>0</v>
      </c>
      <c r="X130">
        <f>IF(Source!BI49&lt;=1,I130, 0)</f>
        <v>4722.26</v>
      </c>
      <c r="Y130">
        <f>IF(Source!BI49=2,I130, 0)</f>
        <v>0</v>
      </c>
      <c r="Z130">
        <f>IF(Source!BI49=3,I130, 0)</f>
        <v>0</v>
      </c>
      <c r="AA130">
        <f>IF(Source!BI49=4,I130, 0)</f>
        <v>0</v>
      </c>
      <c r="AI130">
        <v>3</v>
      </c>
    </row>
    <row r="131" spans="1:35" ht="14.25" x14ac:dyDescent="0.2">
      <c r="A131" s="20"/>
      <c r="B131" s="20"/>
      <c r="C131" s="20" t="s">
        <v>1010</v>
      </c>
      <c r="D131" s="22" t="s">
        <v>1011</v>
      </c>
      <c r="E131" s="21">
        <f>Source!DN47</f>
        <v>100</v>
      </c>
      <c r="F131" s="24"/>
      <c r="G131" s="23"/>
      <c r="H131" s="21"/>
      <c r="I131" s="24">
        <f>SUM(Q123:Q130)</f>
        <v>963.42</v>
      </c>
      <c r="J131" s="21">
        <f>Source!BZ47</f>
        <v>83</v>
      </c>
      <c r="K131" s="24">
        <f>SUM(R123:R130)</f>
        <v>24069.119999999999</v>
      </c>
    </row>
    <row r="132" spans="1:35" ht="14.25" x14ac:dyDescent="0.2">
      <c r="A132" s="20"/>
      <c r="B132" s="20"/>
      <c r="C132" s="20" t="s">
        <v>1012</v>
      </c>
      <c r="D132" s="22" t="s">
        <v>1011</v>
      </c>
      <c r="E132" s="21">
        <f>Source!DO47</f>
        <v>64</v>
      </c>
      <c r="F132" s="24"/>
      <c r="G132" s="23"/>
      <c r="H132" s="21"/>
      <c r="I132" s="24">
        <f>SUM(S123:S131)</f>
        <v>616.59</v>
      </c>
      <c r="J132" s="21">
        <f>Source!CA47</f>
        <v>41</v>
      </c>
      <c r="K132" s="24">
        <f>SUM(T123:T131)</f>
        <v>11889.57</v>
      </c>
    </row>
    <row r="133" spans="1:35" ht="14.25" x14ac:dyDescent="0.2">
      <c r="A133" s="20"/>
      <c r="B133" s="20"/>
      <c r="C133" s="20" t="s">
        <v>1018</v>
      </c>
      <c r="D133" s="22" t="s">
        <v>1011</v>
      </c>
      <c r="E133" s="21">
        <f>175</f>
        <v>175</v>
      </c>
      <c r="F133" s="24"/>
      <c r="G133" s="23"/>
      <c r="H133" s="21"/>
      <c r="I133" s="24">
        <f>SUM(U123:U132)</f>
        <v>1.66</v>
      </c>
      <c r="J133" s="21">
        <f>160</f>
        <v>160</v>
      </c>
      <c r="K133" s="24">
        <f>SUM(V123:V132)</f>
        <v>45.76</v>
      </c>
    </row>
    <row r="134" spans="1:35" ht="14.25" x14ac:dyDescent="0.2">
      <c r="A134" s="26"/>
      <c r="B134" s="26"/>
      <c r="C134" s="26" t="s">
        <v>1013</v>
      </c>
      <c r="D134" s="27" t="s">
        <v>1014</v>
      </c>
      <c r="E134" s="28">
        <f>Source!AQ47</f>
        <v>176</v>
      </c>
      <c r="F134" s="29"/>
      <c r="G134" s="30" t="str">
        <f>Source!DI47</f>
        <v>)*1,15</v>
      </c>
      <c r="H134" s="28">
        <f>Source!AV47</f>
        <v>1</v>
      </c>
      <c r="I134" s="29">
        <f>Source!U47</f>
        <v>80.959999999999994</v>
      </c>
      <c r="J134" s="28"/>
      <c r="K134" s="29"/>
      <c r="AB134" s="25">
        <f>I134</f>
        <v>80.959999999999994</v>
      </c>
    </row>
    <row r="135" spans="1:35" ht="15" x14ac:dyDescent="0.25">
      <c r="C135" s="13" t="s">
        <v>1015</v>
      </c>
      <c r="H135" s="50">
        <f>I125+I126+I128+I131+I132+I133+SUM(I129:I130)</f>
        <v>8168.09</v>
      </c>
      <c r="I135" s="50"/>
      <c r="J135" s="50">
        <f>K125+K126+K128+K131+K132+K133+SUM(K129:K130)</f>
        <v>107549.5</v>
      </c>
      <c r="K135" s="50"/>
      <c r="O135" s="25">
        <f>I125+I126+I128+I131+I132+I133+SUM(I129:I130)</f>
        <v>8168.09</v>
      </c>
      <c r="P135" s="25">
        <f>K125+K126+K128+K131+K132+K133+SUM(K129:K130)</f>
        <v>107549.5</v>
      </c>
      <c r="X135">
        <f>IF(Source!BI47&lt;=1,I125+I126+I128+I131+I132+I133-0, 0)</f>
        <v>2594.6299999999997</v>
      </c>
      <c r="Y135">
        <f>IF(Source!BI47=2,I125+I126+I128+I131+I132+I133-0, 0)</f>
        <v>0</v>
      </c>
      <c r="Z135">
        <f>IF(Source!BI47=3,I125+I126+I128+I131+I132+I133-0, 0)</f>
        <v>0</v>
      </c>
      <c r="AA135">
        <f>IF(Source!BI47=4,I125+I126+I128+I131+I132+I133,0)</f>
        <v>0</v>
      </c>
    </row>
    <row r="138" spans="1:35" ht="15" x14ac:dyDescent="0.25">
      <c r="A138" s="54" t="str">
        <f>CONCATENATE("Итого по разделу: ",IF(Source!G63&lt;&gt;"Новый раздел", Source!G63, ""))</f>
        <v>Итого по разделу: Потолок</v>
      </c>
      <c r="B138" s="54"/>
      <c r="C138" s="54"/>
      <c r="D138" s="54"/>
      <c r="E138" s="54"/>
      <c r="F138" s="54"/>
      <c r="G138" s="54"/>
      <c r="H138" s="52">
        <f>SUM(O39:O137)</f>
        <v>21971.14</v>
      </c>
      <c r="I138" s="53"/>
      <c r="J138" s="52">
        <f>SUM(P39:P137)</f>
        <v>275905.71000000002</v>
      </c>
      <c r="K138" s="53"/>
    </row>
    <row r="139" spans="1:35" hidden="1" x14ac:dyDescent="0.2">
      <c r="A139" t="s">
        <v>1020</v>
      </c>
      <c r="H139">
        <f>SUM(AC39:AC138)</f>
        <v>0</v>
      </c>
      <c r="J139">
        <f>SUM(AD39:AD138)</f>
        <v>0</v>
      </c>
    </row>
    <row r="140" spans="1:35" hidden="1" x14ac:dyDescent="0.2">
      <c r="A140" t="s">
        <v>1021</v>
      </c>
      <c r="H140">
        <f>SUM(AE39:AE139)</f>
        <v>0</v>
      </c>
      <c r="J140">
        <f>SUM(AF39:AF139)</f>
        <v>0</v>
      </c>
    </row>
    <row r="142" spans="1:35" ht="16.5" x14ac:dyDescent="0.25">
      <c r="A142" s="43" t="str">
        <f>CONCATENATE("Раздел: ",IF(Source!G93&lt;&gt;"Новый раздел", Source!G93, ""))</f>
        <v>Раздел: Стены</v>
      </c>
      <c r="B142" s="43"/>
      <c r="C142" s="43"/>
      <c r="D142" s="43"/>
      <c r="E142" s="43"/>
      <c r="F142" s="43"/>
      <c r="G142" s="43"/>
      <c r="H142" s="43"/>
      <c r="I142" s="43"/>
      <c r="J142" s="43"/>
      <c r="K142" s="43"/>
    </row>
    <row r="144" spans="1:35" ht="15" x14ac:dyDescent="0.25">
      <c r="B144" s="51" t="str">
        <f>Source!G97</f>
        <v>Демонтаж</v>
      </c>
      <c r="C144" s="51"/>
      <c r="D144" s="51"/>
      <c r="E144" s="51"/>
      <c r="F144" s="51"/>
      <c r="G144" s="51"/>
      <c r="H144" s="51"/>
      <c r="I144" s="51"/>
      <c r="J144" s="51"/>
    </row>
    <row r="145" spans="1:35" ht="42.75" x14ac:dyDescent="0.2">
      <c r="A145" s="20">
        <v>9</v>
      </c>
      <c r="B145" s="20" t="str">
        <f>Source!F98</f>
        <v>6.63-7-5</v>
      </c>
      <c r="C145" s="20" t="s">
        <v>215</v>
      </c>
      <c r="D145" s="22" t="str">
        <f>Source!H98</f>
        <v>100 М2 ОБЛИЦОВКИ</v>
      </c>
      <c r="E145" s="21">
        <f>Source!I98</f>
        <v>0.75</v>
      </c>
      <c r="F145" s="24"/>
      <c r="G145" s="23"/>
      <c r="H145" s="21"/>
      <c r="I145" s="24"/>
      <c r="J145" s="21"/>
      <c r="K145" s="24"/>
      <c r="Q145">
        <f>ROUND((Source!DN98/100)*ROUND((ROUND((Source!AF98*Source!AV98*Source!I98),2)),2), 2)</f>
        <v>281.39</v>
      </c>
      <c r="R145">
        <f>Source!X98</f>
        <v>7411.16</v>
      </c>
      <c r="S145">
        <f>ROUND((Source!DO98/100)*ROUND((ROUND((Source!AF98*Source!AV98*Source!I98),2)),2), 2)</f>
        <v>193.46</v>
      </c>
      <c r="T145">
        <f>Source!Y98</f>
        <v>4340.82</v>
      </c>
      <c r="U145">
        <f>ROUND((175/100)*ROUND((ROUND((Source!AE98*Source!AV98*Source!I98),2)),2), 2)</f>
        <v>0</v>
      </c>
      <c r="V145">
        <f>ROUND((160/100)*ROUND(ROUND((ROUND((Source!AE98*Source!AV98*Source!I98),2)*Source!BS98),2), 2), 2)</f>
        <v>0</v>
      </c>
      <c r="AI145">
        <v>0</v>
      </c>
    </row>
    <row r="146" spans="1:35" x14ac:dyDescent="0.2">
      <c r="C146" s="31" t="str">
        <f>"Объем: "&amp;Source!I98&amp;"=75/"&amp;"100"</f>
        <v>Объем: 0,75=75/100</v>
      </c>
    </row>
    <row r="147" spans="1:35" ht="14.25" x14ac:dyDescent="0.2">
      <c r="A147" s="20"/>
      <c r="B147" s="20"/>
      <c r="C147" s="20" t="s">
        <v>1009</v>
      </c>
      <c r="D147" s="22"/>
      <c r="E147" s="21"/>
      <c r="F147" s="24">
        <f>Source!AO98</f>
        <v>781.64</v>
      </c>
      <c r="G147" s="23" t="str">
        <f>Source!DG98</f>
        <v>)*0,6</v>
      </c>
      <c r="H147" s="21">
        <f>Source!AV98</f>
        <v>1</v>
      </c>
      <c r="I147" s="24">
        <f>ROUND((ROUND((Source!AF98*Source!AV98*Source!I98),2)),2)</f>
        <v>351.74</v>
      </c>
      <c r="J147" s="21">
        <f>IF(Source!BA98&lt;&gt; 0, Source!BA98, 1)</f>
        <v>30.1</v>
      </c>
      <c r="K147" s="24">
        <f>Source!S98</f>
        <v>10587.37</v>
      </c>
      <c r="W147">
        <f>I147</f>
        <v>351.74</v>
      </c>
    </row>
    <row r="148" spans="1:35" ht="14.25" x14ac:dyDescent="0.2">
      <c r="A148" s="20"/>
      <c r="B148" s="20"/>
      <c r="C148" s="20" t="s">
        <v>1010</v>
      </c>
      <c r="D148" s="22" t="s">
        <v>1011</v>
      </c>
      <c r="E148" s="21">
        <f>Source!DN98</f>
        <v>80</v>
      </c>
      <c r="F148" s="24"/>
      <c r="G148" s="23"/>
      <c r="H148" s="21"/>
      <c r="I148" s="24">
        <f>SUM(Q145:Q147)</f>
        <v>281.39</v>
      </c>
      <c r="J148" s="21">
        <f>Source!BZ98</f>
        <v>70</v>
      </c>
      <c r="K148" s="24">
        <f>SUM(R145:R147)</f>
        <v>7411.16</v>
      </c>
    </row>
    <row r="149" spans="1:35" ht="14.25" x14ac:dyDescent="0.2">
      <c r="A149" s="20"/>
      <c r="B149" s="20"/>
      <c r="C149" s="20" t="s">
        <v>1012</v>
      </c>
      <c r="D149" s="22" t="s">
        <v>1011</v>
      </c>
      <c r="E149" s="21">
        <f>Source!DO98</f>
        <v>55</v>
      </c>
      <c r="F149" s="24"/>
      <c r="G149" s="23"/>
      <c r="H149" s="21"/>
      <c r="I149" s="24">
        <f>SUM(S145:S148)</f>
        <v>193.46</v>
      </c>
      <c r="J149" s="21">
        <f>Source!CA98</f>
        <v>41</v>
      </c>
      <c r="K149" s="24">
        <f>SUM(T145:T148)</f>
        <v>4340.82</v>
      </c>
    </row>
    <row r="150" spans="1:35" ht="14.25" x14ac:dyDescent="0.2">
      <c r="A150" s="26"/>
      <c r="B150" s="26"/>
      <c r="C150" s="26" t="s">
        <v>1013</v>
      </c>
      <c r="D150" s="27" t="s">
        <v>1014</v>
      </c>
      <c r="E150" s="28">
        <f>Source!AQ98</f>
        <v>74.3</v>
      </c>
      <c r="F150" s="29"/>
      <c r="G150" s="30" t="str">
        <f>Source!DI98</f>
        <v>)*0,6</v>
      </c>
      <c r="H150" s="28">
        <f>Source!AV98</f>
        <v>1</v>
      </c>
      <c r="I150" s="29">
        <f>Source!U98</f>
        <v>33.435000000000002</v>
      </c>
      <c r="J150" s="28"/>
      <c r="K150" s="29"/>
      <c r="AB150" s="25">
        <f>I150</f>
        <v>33.435000000000002</v>
      </c>
    </row>
    <row r="151" spans="1:35" ht="15" x14ac:dyDescent="0.25">
      <c r="C151" s="13" t="s">
        <v>1015</v>
      </c>
      <c r="H151" s="50">
        <f>I147+I148+I149+0</f>
        <v>826.59</v>
      </c>
      <c r="I151" s="50"/>
      <c r="J151" s="50">
        <f>K147+K148+K149+0</f>
        <v>22339.35</v>
      </c>
      <c r="K151" s="50"/>
      <c r="O151" s="25">
        <f>I147+I148+I149+0</f>
        <v>826.59</v>
      </c>
      <c r="P151" s="25">
        <f>K147+K148+K149+0</f>
        <v>22339.35</v>
      </c>
      <c r="X151">
        <f>IF(Source!BI98&lt;=1,I147+I148+I149-0, 0)</f>
        <v>826.59</v>
      </c>
      <c r="Y151">
        <f>IF(Source!BI98=2,I147+I148+I149-0, 0)</f>
        <v>0</v>
      </c>
      <c r="Z151">
        <f>IF(Source!BI98=3,I147+I148+I149-0, 0)</f>
        <v>0</v>
      </c>
      <c r="AA151">
        <f>IF(Source!BI98=4,I147+I148+I149,0)</f>
        <v>0</v>
      </c>
    </row>
    <row r="153" spans="1:35" ht="42.75" x14ac:dyDescent="0.2">
      <c r="A153" s="20">
        <v>10</v>
      </c>
      <c r="B153" s="20" t="str">
        <f>Source!F99</f>
        <v>6.61-26-2</v>
      </c>
      <c r="C153" s="20" t="s">
        <v>223</v>
      </c>
      <c r="D153" s="22" t="str">
        <f>Source!H99</f>
        <v>100 м2</v>
      </c>
      <c r="E153" s="21">
        <f>Source!I99</f>
        <v>0.9</v>
      </c>
      <c r="F153" s="24"/>
      <c r="G153" s="23"/>
      <c r="H153" s="21"/>
      <c r="I153" s="24"/>
      <c r="J153" s="21"/>
      <c r="K153" s="24"/>
      <c r="Q153">
        <f>ROUND((Source!DN99/100)*ROUND((ROUND((Source!AF99*Source!AV99*Source!I99),2)),2), 2)</f>
        <v>361.3</v>
      </c>
      <c r="R153">
        <f>Source!X99</f>
        <v>9515.6299999999992</v>
      </c>
      <c r="S153">
        <f>ROUND((Source!DO99/100)*ROUND((ROUND((Source!AF99*Source!AV99*Source!I99),2)),2), 2)</f>
        <v>248.39</v>
      </c>
      <c r="T153">
        <f>Source!Y99</f>
        <v>5573.44</v>
      </c>
      <c r="U153">
        <f>ROUND((175/100)*ROUND((ROUND((Source!AE99*Source!AV99*Source!I99),2)),2), 2)</f>
        <v>0</v>
      </c>
      <c r="V153">
        <f>ROUND((160/100)*ROUND(ROUND((ROUND((Source!AE99*Source!AV99*Source!I99),2)*Source!BS99),2), 2), 2)</f>
        <v>0</v>
      </c>
      <c r="AI153">
        <v>0</v>
      </c>
    </row>
    <row r="154" spans="1:35" x14ac:dyDescent="0.2">
      <c r="C154" s="31" t="str">
        <f>"Объем: "&amp;Source!I99&amp;"=(75+"&amp;"15)/"&amp;"100"</f>
        <v>Объем: 0,9=(75+15)/100</v>
      </c>
    </row>
    <row r="155" spans="1:35" ht="14.25" x14ac:dyDescent="0.2">
      <c r="A155" s="20"/>
      <c r="B155" s="20"/>
      <c r="C155" s="20" t="s">
        <v>1009</v>
      </c>
      <c r="D155" s="22"/>
      <c r="E155" s="21"/>
      <c r="F155" s="24">
        <f>Source!AO99</f>
        <v>501.8</v>
      </c>
      <c r="G155" s="23" t="str">
        <f>Source!DG99</f>
        <v/>
      </c>
      <c r="H155" s="21">
        <f>Source!AV99</f>
        <v>1</v>
      </c>
      <c r="I155" s="24">
        <f>ROUND((ROUND((Source!AF99*Source!AV99*Source!I99),2)),2)</f>
        <v>451.62</v>
      </c>
      <c r="J155" s="21">
        <f>IF(Source!BA99&lt;&gt; 0, Source!BA99, 1)</f>
        <v>30.1</v>
      </c>
      <c r="K155" s="24">
        <f>Source!S99</f>
        <v>13593.76</v>
      </c>
      <c r="W155">
        <f>I155</f>
        <v>451.62</v>
      </c>
    </row>
    <row r="156" spans="1:35" ht="14.25" x14ac:dyDescent="0.2">
      <c r="A156" s="20"/>
      <c r="B156" s="20"/>
      <c r="C156" s="20" t="s">
        <v>1010</v>
      </c>
      <c r="D156" s="22" t="s">
        <v>1011</v>
      </c>
      <c r="E156" s="21">
        <f>Source!DN99</f>
        <v>80</v>
      </c>
      <c r="F156" s="24"/>
      <c r="G156" s="23"/>
      <c r="H156" s="21"/>
      <c r="I156" s="24">
        <f>SUM(Q153:Q155)</f>
        <v>361.3</v>
      </c>
      <c r="J156" s="21">
        <f>Source!BZ99</f>
        <v>70</v>
      </c>
      <c r="K156" s="24">
        <f>SUM(R153:R155)</f>
        <v>9515.6299999999992</v>
      </c>
    </row>
    <row r="157" spans="1:35" ht="14.25" x14ac:dyDescent="0.2">
      <c r="A157" s="20"/>
      <c r="B157" s="20"/>
      <c r="C157" s="20" t="s">
        <v>1012</v>
      </c>
      <c r="D157" s="22" t="s">
        <v>1011</v>
      </c>
      <c r="E157" s="21">
        <f>Source!DO99</f>
        <v>55</v>
      </c>
      <c r="F157" s="24"/>
      <c r="G157" s="23"/>
      <c r="H157" s="21"/>
      <c r="I157" s="24">
        <f>SUM(S153:S156)</f>
        <v>248.39</v>
      </c>
      <c r="J157" s="21">
        <f>Source!CA99</f>
        <v>41</v>
      </c>
      <c r="K157" s="24">
        <f>SUM(T153:T156)</f>
        <v>5573.44</v>
      </c>
    </row>
    <row r="158" spans="1:35" ht="14.25" x14ac:dyDescent="0.2">
      <c r="A158" s="26"/>
      <c r="B158" s="26"/>
      <c r="C158" s="26" t="s">
        <v>1013</v>
      </c>
      <c r="D158" s="27" t="s">
        <v>1014</v>
      </c>
      <c r="E158" s="28">
        <f>Source!AQ99</f>
        <v>49.1</v>
      </c>
      <c r="F158" s="29"/>
      <c r="G158" s="30" t="str">
        <f>Source!DI99</f>
        <v/>
      </c>
      <c r="H158" s="28">
        <f>Source!AV99</f>
        <v>1</v>
      </c>
      <c r="I158" s="29">
        <f>Source!U99</f>
        <v>44.190000000000005</v>
      </c>
      <c r="J158" s="28"/>
      <c r="K158" s="29"/>
      <c r="AB158" s="25">
        <f>I158</f>
        <v>44.190000000000005</v>
      </c>
    </row>
    <row r="159" spans="1:35" ht="15" x14ac:dyDescent="0.25">
      <c r="C159" s="13" t="s">
        <v>1015</v>
      </c>
      <c r="H159" s="50">
        <f>I155+I156+I157+0</f>
        <v>1061.31</v>
      </c>
      <c r="I159" s="50"/>
      <c r="J159" s="50">
        <f>K155+K156+K157+0</f>
        <v>28682.829999999998</v>
      </c>
      <c r="K159" s="50"/>
      <c r="O159" s="25">
        <f>I155+I156+I157+0</f>
        <v>1061.31</v>
      </c>
      <c r="P159" s="25">
        <f>K155+K156+K157+0</f>
        <v>28682.829999999998</v>
      </c>
      <c r="X159">
        <f>IF(Source!BI99&lt;=1,I155+I156+I157-0, 0)</f>
        <v>1061.31</v>
      </c>
      <c r="Y159">
        <f>IF(Source!BI99=2,I155+I156+I157-0, 0)</f>
        <v>0</v>
      </c>
      <c r="Z159">
        <f>IF(Source!BI99=3,I155+I156+I157-0, 0)</f>
        <v>0</v>
      </c>
      <c r="AA159">
        <f>IF(Source!BI99=4,I155+I156+I157,0)</f>
        <v>0</v>
      </c>
    </row>
    <row r="161" spans="1:35" ht="71.25" x14ac:dyDescent="0.2">
      <c r="A161" s="20">
        <v>11</v>
      </c>
      <c r="B161" s="20" t="str">
        <f>Source!F100</f>
        <v>6.63-6-1</v>
      </c>
      <c r="C161" s="20" t="s">
        <v>229</v>
      </c>
      <c r="D161" s="22" t="str">
        <f>Source!H100</f>
        <v>100 М2 ОКЛЕЕННОЙ ПОВЕРХНОСТИ</v>
      </c>
      <c r="E161" s="21">
        <f>Source!I100</f>
        <v>0.55000000000000004</v>
      </c>
      <c r="F161" s="24"/>
      <c r="G161" s="23"/>
      <c r="H161" s="21"/>
      <c r="I161" s="24"/>
      <c r="J161" s="21"/>
      <c r="K161" s="24"/>
      <c r="Q161">
        <f>ROUND((Source!DN100/100)*ROUND((ROUND((Source!AF100*Source!AV100*Source!I100),2)),2), 2)</f>
        <v>65.760000000000005</v>
      </c>
      <c r="R161">
        <f>Source!X100</f>
        <v>1642.89</v>
      </c>
      <c r="S161">
        <f>ROUND((Source!DO100/100)*ROUND((ROUND((Source!AF100*Source!AV100*Source!I100),2)),2), 2)</f>
        <v>42.09</v>
      </c>
      <c r="T161">
        <f>Source!Y100</f>
        <v>811.55</v>
      </c>
      <c r="U161">
        <f>ROUND((175/100)*ROUND((ROUND((Source!AE100*Source!AV100*Source!I100),2)),2), 2)</f>
        <v>0</v>
      </c>
      <c r="V161">
        <f>ROUND((160/100)*ROUND(ROUND((ROUND((Source!AE100*Source!AV100*Source!I100),2)*Source!BS100),2), 2), 2)</f>
        <v>0</v>
      </c>
      <c r="AI161">
        <v>0</v>
      </c>
    </row>
    <row r="162" spans="1:35" x14ac:dyDescent="0.2">
      <c r="C162" s="31" t="str">
        <f>"Объем: "&amp;Source!I100&amp;"=55/"&amp;"100"</f>
        <v>Объем: 0,55=55/100</v>
      </c>
    </row>
    <row r="163" spans="1:35" ht="14.25" x14ac:dyDescent="0.2">
      <c r="A163" s="20"/>
      <c r="B163" s="20"/>
      <c r="C163" s="20" t="s">
        <v>1009</v>
      </c>
      <c r="D163" s="22"/>
      <c r="E163" s="21"/>
      <c r="F163" s="24">
        <f>Source!AO100</f>
        <v>119.57</v>
      </c>
      <c r="G163" s="23" t="str">
        <f>Source!DG100</f>
        <v/>
      </c>
      <c r="H163" s="21">
        <f>Source!AV100</f>
        <v>1</v>
      </c>
      <c r="I163" s="24">
        <f>ROUND((ROUND((Source!AF100*Source!AV100*Source!I100),2)),2)</f>
        <v>65.760000000000005</v>
      </c>
      <c r="J163" s="21">
        <f>IF(Source!BA100&lt;&gt; 0, Source!BA100, 1)</f>
        <v>30.1</v>
      </c>
      <c r="K163" s="24">
        <f>Source!S100</f>
        <v>1979.38</v>
      </c>
      <c r="W163">
        <f>I163</f>
        <v>65.760000000000005</v>
      </c>
    </row>
    <row r="164" spans="1:35" ht="14.25" x14ac:dyDescent="0.2">
      <c r="A164" s="20"/>
      <c r="B164" s="20"/>
      <c r="C164" s="20" t="s">
        <v>1010</v>
      </c>
      <c r="D164" s="22" t="s">
        <v>1011</v>
      </c>
      <c r="E164" s="21">
        <f>Source!DN100</f>
        <v>100</v>
      </c>
      <c r="F164" s="24"/>
      <c r="G164" s="23"/>
      <c r="H164" s="21"/>
      <c r="I164" s="24">
        <f>SUM(Q161:Q163)</f>
        <v>65.760000000000005</v>
      </c>
      <c r="J164" s="21">
        <f>Source!BZ100</f>
        <v>83</v>
      </c>
      <c r="K164" s="24">
        <f>SUM(R161:R163)</f>
        <v>1642.89</v>
      </c>
    </row>
    <row r="165" spans="1:35" ht="14.25" x14ac:dyDescent="0.2">
      <c r="A165" s="20"/>
      <c r="B165" s="20"/>
      <c r="C165" s="20" t="s">
        <v>1012</v>
      </c>
      <c r="D165" s="22" t="s">
        <v>1011</v>
      </c>
      <c r="E165" s="21">
        <f>Source!DO100</f>
        <v>64</v>
      </c>
      <c r="F165" s="24"/>
      <c r="G165" s="23"/>
      <c r="H165" s="21"/>
      <c r="I165" s="24">
        <f>SUM(S161:S164)</f>
        <v>42.09</v>
      </c>
      <c r="J165" s="21">
        <f>Source!CA100</f>
        <v>41</v>
      </c>
      <c r="K165" s="24">
        <f>SUM(T161:T164)</f>
        <v>811.55</v>
      </c>
    </row>
    <row r="166" spans="1:35" ht="14.25" x14ac:dyDescent="0.2">
      <c r="A166" s="26"/>
      <c r="B166" s="26"/>
      <c r="C166" s="26" t="s">
        <v>1013</v>
      </c>
      <c r="D166" s="27" t="s">
        <v>1014</v>
      </c>
      <c r="E166" s="28">
        <f>Source!AQ100</f>
        <v>11.7</v>
      </c>
      <c r="F166" s="29"/>
      <c r="G166" s="30" t="str">
        <f>Source!DI100</f>
        <v/>
      </c>
      <c r="H166" s="28">
        <f>Source!AV100</f>
        <v>1</v>
      </c>
      <c r="I166" s="29">
        <f>Source!U100</f>
        <v>6.4350000000000005</v>
      </c>
      <c r="J166" s="28"/>
      <c r="K166" s="29"/>
      <c r="AB166" s="25">
        <f>I166</f>
        <v>6.4350000000000005</v>
      </c>
    </row>
    <row r="167" spans="1:35" ht="15" x14ac:dyDescent="0.25">
      <c r="C167" s="13" t="s">
        <v>1015</v>
      </c>
      <c r="H167" s="50">
        <f>I163+I164+I165+0</f>
        <v>173.61</v>
      </c>
      <c r="I167" s="50"/>
      <c r="J167" s="50">
        <f>K163+K164+K165+0</f>
        <v>4433.8200000000006</v>
      </c>
      <c r="K167" s="50"/>
      <c r="O167" s="25">
        <f>I163+I164+I165+0</f>
        <v>173.61</v>
      </c>
      <c r="P167" s="25">
        <f>K163+K164+K165+0</f>
        <v>4433.8200000000006</v>
      </c>
      <c r="X167">
        <f>IF(Source!BI100&lt;=1,I163+I164+I165-0, 0)</f>
        <v>173.61</v>
      </c>
      <c r="Y167">
        <f>IF(Source!BI100=2,I163+I164+I165-0, 0)</f>
        <v>0</v>
      </c>
      <c r="Z167">
        <f>IF(Source!BI100=3,I163+I164+I165-0, 0)</f>
        <v>0</v>
      </c>
      <c r="AA167">
        <f>IF(Source!BI100=4,I163+I164+I165,0)</f>
        <v>0</v>
      </c>
    </row>
    <row r="169" spans="1:35" ht="71.25" x14ac:dyDescent="0.2">
      <c r="A169" s="20">
        <v>12</v>
      </c>
      <c r="B169" s="20" t="str">
        <f>Source!F101</f>
        <v>3.10-89-1</v>
      </c>
      <c r="C169" s="20" t="s">
        <v>236</v>
      </c>
      <c r="D169" s="22" t="str">
        <f>Source!H101</f>
        <v>100 м2 перегородки</v>
      </c>
      <c r="E169" s="21">
        <f>Source!I101</f>
        <v>0.15</v>
      </c>
      <c r="F169" s="24"/>
      <c r="G169" s="23"/>
      <c r="H169" s="21"/>
      <c r="I169" s="24"/>
      <c r="J169" s="21"/>
      <c r="K169" s="24"/>
      <c r="Q169">
        <f>ROUND((Source!DN101/100)*ROUND((ROUND((Source!AF101*Source!AV101*Source!I101),2)),2), 2)</f>
        <v>189.58</v>
      </c>
      <c r="R169">
        <f>Source!X101</f>
        <v>4703.05</v>
      </c>
      <c r="S169">
        <f>ROUND((Source!DO101/100)*ROUND((ROUND((Source!AF101*Source!AV101*Source!I101),2)),2), 2)</f>
        <v>145.83000000000001</v>
      </c>
      <c r="T169">
        <f>Source!Y101</f>
        <v>2571</v>
      </c>
      <c r="U169">
        <f>ROUND((175/100)*ROUND((ROUND((Source!AE101*Source!AV101*Source!I101),2)),2), 2)</f>
        <v>2.92</v>
      </c>
      <c r="V169">
        <f>ROUND((160/100)*ROUND(ROUND((ROUND((Source!AE101*Source!AV101*Source!I101),2)*Source!BS101),2), 2), 2)</f>
        <v>80.430000000000007</v>
      </c>
      <c r="AI169">
        <v>0</v>
      </c>
    </row>
    <row r="170" spans="1:35" x14ac:dyDescent="0.2">
      <c r="C170" s="31" t="str">
        <f>"Объем: "&amp;Source!I101&amp;"=15/"&amp;"100"</f>
        <v>Объем: 0,15=15/100</v>
      </c>
    </row>
    <row r="171" spans="1:35" ht="14.25" x14ac:dyDescent="0.2">
      <c r="A171" s="20"/>
      <c r="B171" s="20"/>
      <c r="C171" s="20" t="s">
        <v>1009</v>
      </c>
      <c r="D171" s="22"/>
      <c r="E171" s="21"/>
      <c r="F171" s="24">
        <f>Source!AO101</f>
        <v>1736.12</v>
      </c>
      <c r="G171" s="23" t="str">
        <f>Source!DG101</f>
        <v>)*0,8</v>
      </c>
      <c r="H171" s="21">
        <f>Source!AV101</f>
        <v>1</v>
      </c>
      <c r="I171" s="24">
        <f>ROUND((ROUND((Source!AF101*Source!AV101*Source!I101),2)),2)</f>
        <v>208.33</v>
      </c>
      <c r="J171" s="21">
        <f>IF(Source!BA101&lt;&gt; 0, Source!BA101, 1)</f>
        <v>30.1</v>
      </c>
      <c r="K171" s="24">
        <f>Source!S101</f>
        <v>6270.73</v>
      </c>
      <c r="W171">
        <f>I171</f>
        <v>208.33</v>
      </c>
    </row>
    <row r="172" spans="1:35" ht="14.25" x14ac:dyDescent="0.2">
      <c r="A172" s="20"/>
      <c r="B172" s="20"/>
      <c r="C172" s="20" t="s">
        <v>1016</v>
      </c>
      <c r="D172" s="22"/>
      <c r="E172" s="21"/>
      <c r="F172" s="24">
        <f>Source!AM101</f>
        <v>132.04</v>
      </c>
      <c r="G172" s="23" t="str">
        <f>Source!DE101</f>
        <v>)*0,8</v>
      </c>
      <c r="H172" s="21">
        <f>Source!AV101</f>
        <v>1</v>
      </c>
      <c r="I172" s="24">
        <f>(ROUND((ROUND((((Source!ET101*0.8))*Source!AV101*Source!I101),2)),2)+ROUND((ROUND(((Source!AE101-((Source!EU101*0.8)))*Source!AV101*Source!I101),2)),2))</f>
        <v>15.84</v>
      </c>
      <c r="J172" s="21">
        <f>IF(Source!BB101&lt;&gt; 0, Source!BB101, 1)</f>
        <v>11.14</v>
      </c>
      <c r="K172" s="24">
        <f>Source!Q101</f>
        <v>176.46</v>
      </c>
    </row>
    <row r="173" spans="1:35" ht="14.25" x14ac:dyDescent="0.2">
      <c r="A173" s="20"/>
      <c r="B173" s="20"/>
      <c r="C173" s="20" t="s">
        <v>1017</v>
      </c>
      <c r="D173" s="22"/>
      <c r="E173" s="21"/>
      <c r="F173" s="24">
        <f>Source!AN101</f>
        <v>13.9</v>
      </c>
      <c r="G173" s="23" t="str">
        <f>Source!DF101</f>
        <v>)*0,8</v>
      </c>
      <c r="H173" s="21">
        <f>Source!AV101</f>
        <v>1</v>
      </c>
      <c r="I173" s="32">
        <f>ROUND((ROUND((Source!AE101*Source!AV101*Source!I101),2)),2)</f>
        <v>1.67</v>
      </c>
      <c r="J173" s="21">
        <f>IF(Source!BS101&lt;&gt; 0, Source!BS101, 1)</f>
        <v>30.1</v>
      </c>
      <c r="K173" s="32">
        <f>Source!R101</f>
        <v>50.27</v>
      </c>
      <c r="W173">
        <f>I173</f>
        <v>1.67</v>
      </c>
    </row>
    <row r="174" spans="1:35" ht="14.25" x14ac:dyDescent="0.2">
      <c r="A174" s="20"/>
      <c r="B174" s="20"/>
      <c r="C174" s="20" t="s">
        <v>1010</v>
      </c>
      <c r="D174" s="22" t="s">
        <v>1011</v>
      </c>
      <c r="E174" s="21">
        <f>Source!DN101</f>
        <v>91</v>
      </c>
      <c r="F174" s="24"/>
      <c r="G174" s="23"/>
      <c r="H174" s="21"/>
      <c r="I174" s="24">
        <f>SUM(Q169:Q173)</f>
        <v>189.58</v>
      </c>
      <c r="J174" s="21">
        <f>Source!BZ101</f>
        <v>75</v>
      </c>
      <c r="K174" s="24">
        <f>SUM(R169:R173)</f>
        <v>4703.05</v>
      </c>
    </row>
    <row r="175" spans="1:35" ht="14.25" x14ac:dyDescent="0.2">
      <c r="A175" s="20"/>
      <c r="B175" s="20"/>
      <c r="C175" s="20" t="s">
        <v>1012</v>
      </c>
      <c r="D175" s="22" t="s">
        <v>1011</v>
      </c>
      <c r="E175" s="21">
        <f>Source!DO101</f>
        <v>70</v>
      </c>
      <c r="F175" s="24"/>
      <c r="G175" s="23"/>
      <c r="H175" s="21"/>
      <c r="I175" s="24">
        <f>SUM(S169:S174)</f>
        <v>145.83000000000001</v>
      </c>
      <c r="J175" s="21">
        <f>Source!CA101</f>
        <v>41</v>
      </c>
      <c r="K175" s="24">
        <f>SUM(T169:T174)</f>
        <v>2571</v>
      </c>
    </row>
    <row r="176" spans="1:35" ht="14.25" x14ac:dyDescent="0.2">
      <c r="A176" s="20"/>
      <c r="B176" s="20"/>
      <c r="C176" s="20" t="s">
        <v>1018</v>
      </c>
      <c r="D176" s="22" t="s">
        <v>1011</v>
      </c>
      <c r="E176" s="21">
        <f>175</f>
        <v>175</v>
      </c>
      <c r="F176" s="24"/>
      <c r="G176" s="23"/>
      <c r="H176" s="21"/>
      <c r="I176" s="24">
        <f>SUM(U169:U175)</f>
        <v>2.92</v>
      </c>
      <c r="J176" s="21">
        <f>160</f>
        <v>160</v>
      </c>
      <c r="K176" s="24">
        <f>SUM(V169:V175)</f>
        <v>80.430000000000007</v>
      </c>
    </row>
    <row r="177" spans="1:35" ht="14.25" x14ac:dyDescent="0.2">
      <c r="A177" s="26"/>
      <c r="B177" s="26"/>
      <c r="C177" s="26" t="s">
        <v>1013</v>
      </c>
      <c r="D177" s="27" t="s">
        <v>1014</v>
      </c>
      <c r="E177" s="28">
        <f>Source!AQ101</f>
        <v>147.65</v>
      </c>
      <c r="F177" s="29"/>
      <c r="G177" s="30" t="str">
        <f>Source!DI101</f>
        <v>)*0,8</v>
      </c>
      <c r="H177" s="28">
        <f>Source!AV101</f>
        <v>1</v>
      </c>
      <c r="I177" s="29">
        <f>Source!U101</f>
        <v>17.718</v>
      </c>
      <c r="J177" s="28"/>
      <c r="K177" s="29"/>
      <c r="AB177" s="25">
        <f>I177</f>
        <v>17.718</v>
      </c>
    </row>
    <row r="178" spans="1:35" ht="15" x14ac:dyDescent="0.25">
      <c r="C178" s="13" t="s">
        <v>1015</v>
      </c>
      <c r="H178" s="50">
        <f>I171+I172+I174+I175+I176+0</f>
        <v>562.5</v>
      </c>
      <c r="I178" s="50"/>
      <c r="J178" s="50">
        <f>K171+K172+K174+K175+K176+0</f>
        <v>13801.67</v>
      </c>
      <c r="K178" s="50"/>
      <c r="O178" s="25">
        <f>I171+I172+I174+I175+I176+0</f>
        <v>562.5</v>
      </c>
      <c r="P178" s="25">
        <f>K171+K172+K174+K175+K176+0</f>
        <v>13801.67</v>
      </c>
      <c r="X178">
        <f>IF(Source!BI101&lt;=1,I171+I172+I174+I175+I176-0, 0)</f>
        <v>562.5</v>
      </c>
      <c r="Y178">
        <f>IF(Source!BI101=2,I171+I172+I174+I175+I176-0, 0)</f>
        <v>0</v>
      </c>
      <c r="Z178">
        <f>IF(Source!BI101=3,I171+I172+I174+I175+I176-0, 0)</f>
        <v>0</v>
      </c>
      <c r="AA178">
        <f>IF(Source!BI101=4,I171+I172+I174+I175+I176,0)</f>
        <v>0</v>
      </c>
    </row>
    <row r="181" spans="1:35" ht="15" x14ac:dyDescent="0.25">
      <c r="B181" s="51" t="str">
        <f>Source!G104</f>
        <v>Монтаж</v>
      </c>
      <c r="C181" s="51"/>
      <c r="D181" s="51"/>
      <c r="E181" s="51"/>
      <c r="F181" s="51"/>
      <c r="G181" s="51"/>
      <c r="H181" s="51"/>
      <c r="I181" s="51"/>
      <c r="J181" s="51"/>
    </row>
    <row r="182" spans="1:35" ht="42.75" x14ac:dyDescent="0.2">
      <c r="A182" s="20">
        <v>13</v>
      </c>
      <c r="B182" s="20" t="str">
        <f>Source!F105</f>
        <v>3.15-165-1</v>
      </c>
      <c r="C182" s="20" t="s">
        <v>254</v>
      </c>
      <c r="D182" s="22" t="str">
        <f>Source!H105</f>
        <v>100 м2</v>
      </c>
      <c r="E182" s="21">
        <f>Source!I105</f>
        <v>0.9</v>
      </c>
      <c r="F182" s="24"/>
      <c r="G182" s="23"/>
      <c r="H182" s="21"/>
      <c r="I182" s="24"/>
      <c r="J182" s="21"/>
      <c r="K182" s="24"/>
      <c r="Q182">
        <f>ROUND((Source!DN105/100)*ROUND((ROUND((Source!AF105*Source!AV105*Source!I105),2)),2), 2)</f>
        <v>53.8</v>
      </c>
      <c r="R182">
        <f>Source!X105</f>
        <v>1344.09</v>
      </c>
      <c r="S182">
        <f>ROUND((Source!DO105/100)*ROUND((ROUND((Source!AF105*Source!AV105*Source!I105),2)),2), 2)</f>
        <v>34.43</v>
      </c>
      <c r="T182">
        <f>Source!Y105</f>
        <v>663.95</v>
      </c>
      <c r="U182">
        <f>ROUND((175/100)*ROUND((ROUND((Source!AE105*Source!AV105*Source!I105),2)),2), 2)</f>
        <v>0.26</v>
      </c>
      <c r="V182">
        <f>ROUND((160/100)*ROUND(ROUND((ROUND((Source!AE105*Source!AV105*Source!I105),2)*Source!BS105),2), 2), 2)</f>
        <v>7.23</v>
      </c>
      <c r="AI182">
        <v>0</v>
      </c>
    </row>
    <row r="183" spans="1:35" x14ac:dyDescent="0.2">
      <c r="C183" s="31" t="str">
        <f>"Объем: "&amp;Source!I105&amp;"=90/"&amp;"100"</f>
        <v>Объем: 0,9=90/100</v>
      </c>
    </row>
    <row r="184" spans="1:35" ht="14.25" x14ac:dyDescent="0.2">
      <c r="A184" s="20"/>
      <c r="B184" s="20"/>
      <c r="C184" s="20" t="s">
        <v>1009</v>
      </c>
      <c r="D184" s="22"/>
      <c r="E184" s="21"/>
      <c r="F184" s="24">
        <f>Source!AO105</f>
        <v>51.98</v>
      </c>
      <c r="G184" s="23" t="str">
        <f>Source!DG105</f>
        <v>)*1,15</v>
      </c>
      <c r="H184" s="21">
        <f>Source!AV105</f>
        <v>1</v>
      </c>
      <c r="I184" s="24">
        <f>ROUND((ROUND((Source!AF105*Source!AV105*Source!I105),2)),2)</f>
        <v>53.8</v>
      </c>
      <c r="J184" s="21">
        <f>IF(Source!BA105&lt;&gt; 0, Source!BA105, 1)</f>
        <v>30.1</v>
      </c>
      <c r="K184" s="24">
        <f>Source!S105</f>
        <v>1619.38</v>
      </c>
      <c r="W184">
        <f>I184</f>
        <v>53.8</v>
      </c>
    </row>
    <row r="185" spans="1:35" ht="14.25" x14ac:dyDescent="0.2">
      <c r="A185" s="20"/>
      <c r="B185" s="20"/>
      <c r="C185" s="20" t="s">
        <v>1016</v>
      </c>
      <c r="D185" s="22"/>
      <c r="E185" s="21"/>
      <c r="F185" s="24">
        <f>Source!AM105</f>
        <v>0.84</v>
      </c>
      <c r="G185" s="23" t="str">
        <f>Source!DE105</f>
        <v>)*1,25</v>
      </c>
      <c r="H185" s="21">
        <f>Source!AV105</f>
        <v>1</v>
      </c>
      <c r="I185" s="24">
        <f>(ROUND((ROUND((((Source!ET105*1.25))*Source!AV105*Source!I105),2)),2)+ROUND((ROUND(((Source!AE105-((Source!EU105*1.25)))*Source!AV105*Source!I105),2)),2))</f>
        <v>0.95</v>
      </c>
      <c r="J185" s="21">
        <f>IF(Source!BB105&lt;&gt; 0, Source!BB105, 1)</f>
        <v>12.02</v>
      </c>
      <c r="K185" s="24">
        <f>Source!Q105</f>
        <v>11.42</v>
      </c>
    </row>
    <row r="186" spans="1:35" ht="14.25" x14ac:dyDescent="0.2">
      <c r="A186" s="20"/>
      <c r="B186" s="20"/>
      <c r="C186" s="20" t="s">
        <v>1017</v>
      </c>
      <c r="D186" s="22"/>
      <c r="E186" s="21"/>
      <c r="F186" s="24">
        <f>Source!AN105</f>
        <v>0.13</v>
      </c>
      <c r="G186" s="23" t="str">
        <f>Source!DF105</f>
        <v>)*1,25</v>
      </c>
      <c r="H186" s="21">
        <f>Source!AV105</f>
        <v>1</v>
      </c>
      <c r="I186" s="32">
        <f>ROUND((ROUND((Source!AE105*Source!AV105*Source!I105),2)),2)</f>
        <v>0.15</v>
      </c>
      <c r="J186" s="21">
        <f>IF(Source!BS105&lt;&gt; 0, Source!BS105, 1)</f>
        <v>30.1</v>
      </c>
      <c r="K186" s="32">
        <f>Source!R105</f>
        <v>4.5199999999999996</v>
      </c>
      <c r="W186">
        <f>I186</f>
        <v>0.15</v>
      </c>
    </row>
    <row r="187" spans="1:35" ht="57" x14ac:dyDescent="0.2">
      <c r="A187" s="20" t="s">
        <v>256</v>
      </c>
      <c r="B187" s="20" t="str">
        <f>Source!F106</f>
        <v>1.1-1-2854</v>
      </c>
      <c r="C187" s="20" t="s">
        <v>57</v>
      </c>
      <c r="D187" s="22" t="str">
        <f>Source!H106</f>
        <v>кг</v>
      </c>
      <c r="E187" s="21">
        <f>Source!I106</f>
        <v>9.27</v>
      </c>
      <c r="F187" s="24">
        <f>Source!AK106</f>
        <v>28.98</v>
      </c>
      <c r="G187" s="33" t="s">
        <v>3</v>
      </c>
      <c r="H187" s="21">
        <f>Source!AW106</f>
        <v>1</v>
      </c>
      <c r="I187" s="24">
        <f>ROUND((ROUND((Source!AC106*Source!AW106*Source!I106),2)),2)+(ROUND((ROUND(((Source!ET106)*Source!AV106*Source!I106),2)),2)+ROUND((ROUND(((Source!AE106-(Source!EU106))*Source!AV106*Source!I106),2)),2))+ROUND((ROUND((Source!AF106*Source!AV106*Source!I106),2)),2)</f>
        <v>268.64</v>
      </c>
      <c r="J187" s="21">
        <f>IF(Source!BC106&lt;&gt; 0, Source!BC106, 1)</f>
        <v>3.58</v>
      </c>
      <c r="K187" s="24">
        <f>Source!O106</f>
        <v>961.73</v>
      </c>
      <c r="Q187">
        <f>ROUND((Source!DN106/100)*ROUND((ROUND((Source!AF106*Source!AV106*Source!I106),2)),2), 2)</f>
        <v>0</v>
      </c>
      <c r="R187">
        <f>Source!X106</f>
        <v>0</v>
      </c>
      <c r="S187">
        <f>ROUND((Source!DO106/100)*ROUND((ROUND((Source!AF106*Source!AV106*Source!I106),2)),2), 2)</f>
        <v>0</v>
      </c>
      <c r="T187">
        <f>Source!Y106</f>
        <v>0</v>
      </c>
      <c r="U187">
        <f>ROUND((175/100)*ROUND((ROUND((Source!AE106*Source!AV106*Source!I106),2)),2), 2)</f>
        <v>0</v>
      </c>
      <c r="V187">
        <f>ROUND((160/100)*ROUND(ROUND((ROUND((Source!AE106*Source!AV106*Source!I106),2)*Source!BS106),2), 2), 2)</f>
        <v>0</v>
      </c>
      <c r="X187">
        <f>IF(Source!BI106&lt;=1,I187, 0)</f>
        <v>268.64</v>
      </c>
      <c r="Y187">
        <f>IF(Source!BI106=2,I187, 0)</f>
        <v>0</v>
      </c>
      <c r="Z187">
        <f>IF(Source!BI106=3,I187, 0)</f>
        <v>0</v>
      </c>
      <c r="AA187">
        <f>IF(Source!BI106=4,I187, 0)</f>
        <v>0</v>
      </c>
      <c r="AI187">
        <v>3</v>
      </c>
    </row>
    <row r="188" spans="1:35" ht="14.25" x14ac:dyDescent="0.2">
      <c r="A188" s="20"/>
      <c r="B188" s="20"/>
      <c r="C188" s="20" t="s">
        <v>1010</v>
      </c>
      <c r="D188" s="22" t="s">
        <v>1011</v>
      </c>
      <c r="E188" s="21">
        <f>Source!DN105</f>
        <v>100</v>
      </c>
      <c r="F188" s="24"/>
      <c r="G188" s="23"/>
      <c r="H188" s="21"/>
      <c r="I188" s="24">
        <f>SUM(Q182:Q187)</f>
        <v>53.8</v>
      </c>
      <c r="J188" s="21">
        <f>Source!BZ105</f>
        <v>83</v>
      </c>
      <c r="K188" s="24">
        <f>SUM(R182:R187)</f>
        <v>1344.09</v>
      </c>
    </row>
    <row r="189" spans="1:35" ht="14.25" x14ac:dyDescent="0.2">
      <c r="A189" s="20"/>
      <c r="B189" s="20"/>
      <c r="C189" s="20" t="s">
        <v>1012</v>
      </c>
      <c r="D189" s="22" t="s">
        <v>1011</v>
      </c>
      <c r="E189" s="21">
        <f>Source!DO105</f>
        <v>64</v>
      </c>
      <c r="F189" s="24"/>
      <c r="G189" s="23"/>
      <c r="H189" s="21"/>
      <c r="I189" s="24">
        <f>SUM(S182:S188)</f>
        <v>34.43</v>
      </c>
      <c r="J189" s="21">
        <f>Source!CA105</f>
        <v>41</v>
      </c>
      <c r="K189" s="24">
        <f>SUM(T182:T188)</f>
        <v>663.95</v>
      </c>
    </row>
    <row r="190" spans="1:35" ht="14.25" x14ac:dyDescent="0.2">
      <c r="A190" s="20"/>
      <c r="B190" s="20"/>
      <c r="C190" s="20" t="s">
        <v>1018</v>
      </c>
      <c r="D190" s="22" t="s">
        <v>1011</v>
      </c>
      <c r="E190" s="21">
        <f>175</f>
        <v>175</v>
      </c>
      <c r="F190" s="24"/>
      <c r="G190" s="23"/>
      <c r="H190" s="21"/>
      <c r="I190" s="24">
        <f>SUM(U182:U189)</f>
        <v>0.26</v>
      </c>
      <c r="J190" s="21">
        <f>160</f>
        <v>160</v>
      </c>
      <c r="K190" s="24">
        <f>SUM(V182:V189)</f>
        <v>7.23</v>
      </c>
    </row>
    <row r="191" spans="1:35" ht="14.25" x14ac:dyDescent="0.2">
      <c r="A191" s="26"/>
      <c r="B191" s="26"/>
      <c r="C191" s="26" t="s">
        <v>1013</v>
      </c>
      <c r="D191" s="27" t="s">
        <v>1014</v>
      </c>
      <c r="E191" s="28">
        <f>Source!AQ105</f>
        <v>4.6500000000000004</v>
      </c>
      <c r="F191" s="29"/>
      <c r="G191" s="30" t="str">
        <f>Source!DI105</f>
        <v>)*1,15</v>
      </c>
      <c r="H191" s="28">
        <f>Source!AV105</f>
        <v>1</v>
      </c>
      <c r="I191" s="29">
        <f>Source!U105</f>
        <v>4.8127500000000003</v>
      </c>
      <c r="J191" s="28"/>
      <c r="K191" s="29"/>
      <c r="AB191" s="25">
        <f>I191</f>
        <v>4.8127500000000003</v>
      </c>
    </row>
    <row r="192" spans="1:35" ht="15" x14ac:dyDescent="0.25">
      <c r="C192" s="13" t="s">
        <v>1015</v>
      </c>
      <c r="H192" s="50">
        <f>I184+I185+I188+I189+I190+SUM(I187:I187)</f>
        <v>411.88</v>
      </c>
      <c r="I192" s="50"/>
      <c r="J192" s="50">
        <f>K184+K185+K188+K189+K190+SUM(K187:K187)</f>
        <v>4607.8</v>
      </c>
      <c r="K192" s="50"/>
      <c r="O192" s="25">
        <f>I184+I185+I188+I189+I190+SUM(I187:I187)</f>
        <v>411.88</v>
      </c>
      <c r="P192" s="25">
        <f>K184+K185+K188+K189+K190+SUM(K187:K187)</f>
        <v>4607.8</v>
      </c>
      <c r="X192">
        <f>IF(Source!BI105&lt;=1,I184+I185+I188+I189+I190-0, 0)</f>
        <v>143.23999999999998</v>
      </c>
      <c r="Y192">
        <f>IF(Source!BI105=2,I184+I185+I188+I189+I190-0, 0)</f>
        <v>0</v>
      </c>
      <c r="Z192">
        <f>IF(Source!BI105=3,I184+I185+I188+I189+I190-0, 0)</f>
        <v>0</v>
      </c>
      <c r="AA192">
        <f>IF(Source!BI105=4,I184+I185+I188+I189+I190,0)</f>
        <v>0</v>
      </c>
    </row>
    <row r="194" spans="1:35" ht="85.5" x14ac:dyDescent="0.2">
      <c r="A194" s="20">
        <v>14</v>
      </c>
      <c r="B194" s="20" t="str">
        <f>Source!F107</f>
        <v>3.15-52-1</v>
      </c>
      <c r="C194" s="20" t="s">
        <v>259</v>
      </c>
      <c r="D194" s="22" t="str">
        <f>Source!H107</f>
        <v>100 м2 оштукатуриваемой поверхности</v>
      </c>
      <c r="E194" s="21">
        <f>Source!I107</f>
        <v>0.75</v>
      </c>
      <c r="F194" s="24"/>
      <c r="G194" s="23"/>
      <c r="H194" s="21"/>
      <c r="I194" s="24"/>
      <c r="J194" s="21"/>
      <c r="K194" s="24"/>
      <c r="Q194">
        <f>ROUND((Source!DN107/100)*ROUND((ROUND((Source!AF107*Source!AV107*Source!I107),2)),2), 2)</f>
        <v>717.6</v>
      </c>
      <c r="R194">
        <f>Source!X107</f>
        <v>17927.8</v>
      </c>
      <c r="S194">
        <f>ROUND((Source!DO107/100)*ROUND((ROUND((Source!AF107*Source!AV107*Source!I107),2)),2), 2)</f>
        <v>459.26</v>
      </c>
      <c r="T194">
        <f>Source!Y107</f>
        <v>8855.9</v>
      </c>
      <c r="U194">
        <f>ROUND((175/100)*ROUND((ROUND((Source!AE107*Source!AV107*Source!I107),2)),2), 2)</f>
        <v>99.02</v>
      </c>
      <c r="V194">
        <f>ROUND((160/100)*ROUND(ROUND((ROUND((Source!AE107*Source!AV107*Source!I107),2)*Source!BS107),2), 2), 2)</f>
        <v>2724.9</v>
      </c>
      <c r="AI194">
        <v>0</v>
      </c>
    </row>
    <row r="195" spans="1:35" x14ac:dyDescent="0.2">
      <c r="C195" s="31" t="str">
        <f>"Объем: "&amp;Source!I107&amp;"=75/"&amp;"100"</f>
        <v>Объем: 0,75=75/100</v>
      </c>
    </row>
    <row r="196" spans="1:35" ht="14.25" x14ac:dyDescent="0.2">
      <c r="A196" s="20"/>
      <c r="B196" s="20"/>
      <c r="C196" s="20" t="s">
        <v>1009</v>
      </c>
      <c r="D196" s="22"/>
      <c r="E196" s="21"/>
      <c r="F196" s="24">
        <f>Source!AO107</f>
        <v>832</v>
      </c>
      <c r="G196" s="23" t="str">
        <f>Source!DG107</f>
        <v>)*1,15</v>
      </c>
      <c r="H196" s="21">
        <f>Source!AV107</f>
        <v>1</v>
      </c>
      <c r="I196" s="24">
        <f>ROUND((ROUND((Source!AF107*Source!AV107*Source!I107),2)),2)</f>
        <v>717.6</v>
      </c>
      <c r="J196" s="21">
        <f>IF(Source!BA107&lt;&gt; 0, Source!BA107, 1)</f>
        <v>30.1</v>
      </c>
      <c r="K196" s="24">
        <f>Source!S107</f>
        <v>21599.759999999998</v>
      </c>
      <c r="W196">
        <f>I196</f>
        <v>717.6</v>
      </c>
    </row>
    <row r="197" spans="1:35" ht="14.25" x14ac:dyDescent="0.2">
      <c r="A197" s="20"/>
      <c r="B197" s="20"/>
      <c r="C197" s="20" t="s">
        <v>1016</v>
      </c>
      <c r="D197" s="22"/>
      <c r="E197" s="21"/>
      <c r="F197" s="24">
        <f>Source!AM107</f>
        <v>111.26</v>
      </c>
      <c r="G197" s="23" t="str">
        <f>Source!DE107</f>
        <v>)*1,25</v>
      </c>
      <c r="H197" s="21">
        <f>Source!AV107</f>
        <v>1</v>
      </c>
      <c r="I197" s="24">
        <f>(ROUND((ROUND((((Source!ET107*1.25))*Source!AV107*Source!I107),2)),2)+ROUND((ROUND(((Source!AE107-((Source!EU107*1.25)))*Source!AV107*Source!I107),2)),2))</f>
        <v>104.31</v>
      </c>
      <c r="J197" s="21">
        <f>IF(Source!BB107&lt;&gt; 0, Source!BB107, 1)</f>
        <v>21.97</v>
      </c>
      <c r="K197" s="24">
        <f>Source!Q107</f>
        <v>2291.69</v>
      </c>
    </row>
    <row r="198" spans="1:35" ht="14.25" x14ac:dyDescent="0.2">
      <c r="A198" s="20"/>
      <c r="B198" s="20"/>
      <c r="C198" s="20" t="s">
        <v>1017</v>
      </c>
      <c r="D198" s="22"/>
      <c r="E198" s="21"/>
      <c r="F198" s="24">
        <f>Source!AN107</f>
        <v>60.35</v>
      </c>
      <c r="G198" s="23" t="str">
        <f>Source!DF107</f>
        <v>)*1,25</v>
      </c>
      <c r="H198" s="21">
        <f>Source!AV107</f>
        <v>1</v>
      </c>
      <c r="I198" s="32">
        <f>ROUND((ROUND((Source!AE107*Source!AV107*Source!I107),2)),2)</f>
        <v>56.58</v>
      </c>
      <c r="J198" s="21">
        <f>IF(Source!BS107&lt;&gt; 0, Source!BS107, 1)</f>
        <v>30.1</v>
      </c>
      <c r="K198" s="32">
        <f>Source!R107</f>
        <v>1703.06</v>
      </c>
      <c r="W198">
        <f>I198</f>
        <v>56.58</v>
      </c>
    </row>
    <row r="199" spans="1:35" ht="14.25" x14ac:dyDescent="0.2">
      <c r="A199" s="20"/>
      <c r="B199" s="20"/>
      <c r="C199" s="20" t="s">
        <v>1019</v>
      </c>
      <c r="D199" s="22"/>
      <c r="E199" s="21"/>
      <c r="F199" s="24">
        <f>Source!AL107</f>
        <v>100.78</v>
      </c>
      <c r="G199" s="23" t="str">
        <f>Source!DD107</f>
        <v/>
      </c>
      <c r="H199" s="21">
        <f>Source!AW107</f>
        <v>1</v>
      </c>
      <c r="I199" s="24">
        <f>ROUND((ROUND((Source!AC107*Source!AW107*Source!I107),2)),2)</f>
        <v>75.59</v>
      </c>
      <c r="J199" s="21">
        <f>IF(Source!BC107&lt;&gt; 0, Source!BC107, 1)</f>
        <v>27.61</v>
      </c>
      <c r="K199" s="24">
        <f>Source!P107</f>
        <v>2087.04</v>
      </c>
    </row>
    <row r="200" spans="1:35" ht="14.25" x14ac:dyDescent="0.2">
      <c r="A200" s="20" t="s">
        <v>261</v>
      </c>
      <c r="B200" s="20" t="str">
        <f>Source!F108</f>
        <v>1.1-1-118</v>
      </c>
      <c r="C200" s="20" t="s">
        <v>69</v>
      </c>
      <c r="D200" s="22" t="str">
        <f>Source!H108</f>
        <v>м3</v>
      </c>
      <c r="E200" s="21">
        <f>Source!I108</f>
        <v>6.3E-2</v>
      </c>
      <c r="F200" s="24">
        <f>Source!AK108</f>
        <v>7.07</v>
      </c>
      <c r="G200" s="33" t="s">
        <v>3</v>
      </c>
      <c r="H200" s="21">
        <f>Source!AW108</f>
        <v>1</v>
      </c>
      <c r="I200" s="24">
        <f>ROUND((ROUND((Source!AC108*Source!AW108*Source!I108),2)),2)+(ROUND((ROUND(((Source!ET108)*Source!AV108*Source!I108),2)),2)+ROUND((ROUND(((Source!AE108-(Source!EU108))*Source!AV108*Source!I108),2)),2))+ROUND((ROUND((Source!AF108*Source!AV108*Source!I108),2)),2)</f>
        <v>0.45</v>
      </c>
      <c r="J200" s="21">
        <f>IF(Source!BC108&lt;&gt; 0, Source!BC108, 1)</f>
        <v>6</v>
      </c>
      <c r="K200" s="24">
        <f>Source!O108</f>
        <v>2.7</v>
      </c>
      <c r="Q200">
        <f>ROUND((Source!DN108/100)*ROUND((ROUND((Source!AF108*Source!AV108*Source!I108),2)),2), 2)</f>
        <v>0</v>
      </c>
      <c r="R200">
        <f>Source!X108</f>
        <v>0</v>
      </c>
      <c r="S200">
        <f>ROUND((Source!DO108/100)*ROUND((ROUND((Source!AF108*Source!AV108*Source!I108),2)),2), 2)</f>
        <v>0</v>
      </c>
      <c r="T200">
        <f>Source!Y108</f>
        <v>0</v>
      </c>
      <c r="U200">
        <f>ROUND((175/100)*ROUND((ROUND((Source!AE108*Source!AV108*Source!I108),2)),2), 2)</f>
        <v>0</v>
      </c>
      <c r="V200">
        <f>ROUND((160/100)*ROUND(ROUND((ROUND((Source!AE108*Source!AV108*Source!I108),2)*Source!BS108),2), 2), 2)</f>
        <v>0</v>
      </c>
      <c r="X200">
        <f>IF(Source!BI108&lt;=1,I200, 0)</f>
        <v>0.45</v>
      </c>
      <c r="Y200">
        <f>IF(Source!BI108=2,I200, 0)</f>
        <v>0</v>
      </c>
      <c r="Z200">
        <f>IF(Source!BI108=3,I200, 0)</f>
        <v>0</v>
      </c>
      <c r="AA200">
        <f>IF(Source!BI108=4,I200, 0)</f>
        <v>0</v>
      </c>
      <c r="AI200">
        <v>3</v>
      </c>
    </row>
    <row r="201" spans="1:35" ht="71.25" x14ac:dyDescent="0.2">
      <c r="A201" s="20" t="s">
        <v>262</v>
      </c>
      <c r="B201" s="20" t="str">
        <f>Source!F109</f>
        <v>1.3-2-29</v>
      </c>
      <c r="C201" s="20" t="s">
        <v>263</v>
      </c>
      <c r="D201" s="22" t="str">
        <f>Source!H109</f>
        <v>т</v>
      </c>
      <c r="E201" s="21">
        <f>Source!I109</f>
        <v>0.36</v>
      </c>
      <c r="F201" s="24">
        <f>Source!AK109</f>
        <v>1517.68</v>
      </c>
      <c r="G201" s="33" t="s">
        <v>3</v>
      </c>
      <c r="H201" s="21">
        <f>Source!AW109</f>
        <v>1</v>
      </c>
      <c r="I201" s="24">
        <f>ROUND((ROUND((Source!AC109*Source!AW109*Source!I109),2)),2)+(ROUND((ROUND(((Source!ET109)*Source!AV109*Source!I109),2)),2)+ROUND((ROUND(((Source!AE109-(Source!EU109))*Source!AV109*Source!I109),2)),2))+ROUND((ROUND((Source!AF109*Source!AV109*Source!I109),2)),2)</f>
        <v>546.36</v>
      </c>
      <c r="J201" s="21">
        <f>IF(Source!BC109&lt;&gt; 0, Source!BC109, 1)</f>
        <v>7.37</v>
      </c>
      <c r="K201" s="24">
        <f>Source!O109</f>
        <v>4026.67</v>
      </c>
      <c r="Q201">
        <f>ROUND((Source!DN109/100)*ROUND((ROUND((Source!AF109*Source!AV109*Source!I109),2)),2), 2)</f>
        <v>0</v>
      </c>
      <c r="R201">
        <f>Source!X109</f>
        <v>0</v>
      </c>
      <c r="S201">
        <f>ROUND((Source!DO109/100)*ROUND((ROUND((Source!AF109*Source!AV109*Source!I109),2)),2), 2)</f>
        <v>0</v>
      </c>
      <c r="T201">
        <f>Source!Y109</f>
        <v>0</v>
      </c>
      <c r="U201">
        <f>ROUND((175/100)*ROUND((ROUND((Source!AE109*Source!AV109*Source!I109),2)),2), 2)</f>
        <v>0</v>
      </c>
      <c r="V201">
        <f>ROUND((160/100)*ROUND(ROUND((ROUND((Source!AE109*Source!AV109*Source!I109),2)*Source!BS109),2), 2), 2)</f>
        <v>0</v>
      </c>
      <c r="X201">
        <f>IF(Source!BI109&lt;=1,I201, 0)</f>
        <v>546.36</v>
      </c>
      <c r="Y201">
        <f>IF(Source!BI109=2,I201, 0)</f>
        <v>0</v>
      </c>
      <c r="Z201">
        <f>IF(Source!BI109=3,I201, 0)</f>
        <v>0</v>
      </c>
      <c r="AA201">
        <f>IF(Source!BI109=4,I201, 0)</f>
        <v>0</v>
      </c>
      <c r="AI201">
        <v>3</v>
      </c>
    </row>
    <row r="202" spans="1:35" ht="28.5" x14ac:dyDescent="0.2">
      <c r="A202" s="20" t="s">
        <v>264</v>
      </c>
      <c r="B202" s="20" t="str">
        <f>Source!F110</f>
        <v>1.3-2-13</v>
      </c>
      <c r="C202" s="20" t="s">
        <v>265</v>
      </c>
      <c r="D202" s="22" t="str">
        <f>Source!H110</f>
        <v>м3</v>
      </c>
      <c r="E202" s="21">
        <f>Source!I110</f>
        <v>0.90599999999999992</v>
      </c>
      <c r="F202" s="24">
        <f>Source!AK110</f>
        <v>481.69</v>
      </c>
      <c r="G202" s="33" t="s">
        <v>3</v>
      </c>
      <c r="H202" s="21">
        <f>Source!AW110</f>
        <v>1</v>
      </c>
      <c r="I202" s="24">
        <f>ROUND((ROUND((Source!AC110*Source!AW110*Source!I110),2)),2)+(ROUND((ROUND(((Source!ET110)*Source!AV110*Source!I110),2)),2)+ROUND((ROUND(((Source!AE110-(Source!EU110))*Source!AV110*Source!I110),2)),2))+ROUND((ROUND((Source!AF110*Source!AV110*Source!I110),2)),2)</f>
        <v>436.41</v>
      </c>
      <c r="J202" s="21">
        <f>IF(Source!BC110&lt;&gt; 0, Source!BC110, 1)</f>
        <v>9.43</v>
      </c>
      <c r="K202" s="24">
        <f>Source!O110</f>
        <v>4115.3500000000004</v>
      </c>
      <c r="Q202">
        <f>ROUND((Source!DN110/100)*ROUND((ROUND((Source!AF110*Source!AV110*Source!I110),2)),2), 2)</f>
        <v>0</v>
      </c>
      <c r="R202">
        <f>Source!X110</f>
        <v>0</v>
      </c>
      <c r="S202">
        <f>ROUND((Source!DO110/100)*ROUND((ROUND((Source!AF110*Source!AV110*Source!I110),2)),2), 2)</f>
        <v>0</v>
      </c>
      <c r="T202">
        <f>Source!Y110</f>
        <v>0</v>
      </c>
      <c r="U202">
        <f>ROUND((175/100)*ROUND((ROUND((Source!AE110*Source!AV110*Source!I110),2)),2), 2)</f>
        <v>0</v>
      </c>
      <c r="V202">
        <f>ROUND((160/100)*ROUND(ROUND((ROUND((Source!AE110*Source!AV110*Source!I110),2)*Source!BS110),2), 2), 2)</f>
        <v>0</v>
      </c>
      <c r="X202">
        <f>IF(Source!BI110&lt;=1,I202, 0)</f>
        <v>436.41</v>
      </c>
      <c r="Y202">
        <f>IF(Source!BI110=2,I202, 0)</f>
        <v>0</v>
      </c>
      <c r="Z202">
        <f>IF(Source!BI110=3,I202, 0)</f>
        <v>0</v>
      </c>
      <c r="AA202">
        <f>IF(Source!BI110=4,I202, 0)</f>
        <v>0</v>
      </c>
      <c r="AI202">
        <v>3</v>
      </c>
    </row>
    <row r="203" spans="1:35" ht="14.25" x14ac:dyDescent="0.2">
      <c r="A203" s="20"/>
      <c r="B203" s="20"/>
      <c r="C203" s="20" t="s">
        <v>1010</v>
      </c>
      <c r="D203" s="22" t="s">
        <v>1011</v>
      </c>
      <c r="E203" s="21">
        <f>Source!DN107</f>
        <v>100</v>
      </c>
      <c r="F203" s="24"/>
      <c r="G203" s="23"/>
      <c r="H203" s="21"/>
      <c r="I203" s="24">
        <f>SUM(Q194:Q202)</f>
        <v>717.6</v>
      </c>
      <c r="J203" s="21">
        <f>Source!BZ107</f>
        <v>83</v>
      </c>
      <c r="K203" s="24">
        <f>SUM(R194:R202)</f>
        <v>17927.8</v>
      </c>
    </row>
    <row r="204" spans="1:35" ht="14.25" x14ac:dyDescent="0.2">
      <c r="A204" s="20"/>
      <c r="B204" s="20"/>
      <c r="C204" s="20" t="s">
        <v>1012</v>
      </c>
      <c r="D204" s="22" t="s">
        <v>1011</v>
      </c>
      <c r="E204" s="21">
        <f>Source!DO107</f>
        <v>64</v>
      </c>
      <c r="F204" s="24"/>
      <c r="G204" s="23"/>
      <c r="H204" s="21"/>
      <c r="I204" s="24">
        <f>SUM(S194:S203)</f>
        <v>459.26</v>
      </c>
      <c r="J204" s="21">
        <f>Source!CA107</f>
        <v>41</v>
      </c>
      <c r="K204" s="24">
        <f>SUM(T194:T203)</f>
        <v>8855.9</v>
      </c>
    </row>
    <row r="205" spans="1:35" ht="14.25" x14ac:dyDescent="0.2">
      <c r="A205" s="20"/>
      <c r="B205" s="20"/>
      <c r="C205" s="20" t="s">
        <v>1018</v>
      </c>
      <c r="D205" s="22" t="s">
        <v>1011</v>
      </c>
      <c r="E205" s="21">
        <f>175</f>
        <v>175</v>
      </c>
      <c r="F205" s="24"/>
      <c r="G205" s="23"/>
      <c r="H205" s="21"/>
      <c r="I205" s="24">
        <f>SUM(U194:U204)</f>
        <v>99.02</v>
      </c>
      <c r="J205" s="21">
        <f>160</f>
        <v>160</v>
      </c>
      <c r="K205" s="24">
        <f>SUM(V194:V204)</f>
        <v>2724.9</v>
      </c>
    </row>
    <row r="206" spans="1:35" ht="14.25" x14ac:dyDescent="0.2">
      <c r="A206" s="26"/>
      <c r="B206" s="26"/>
      <c r="C206" s="26" t="s">
        <v>1013</v>
      </c>
      <c r="D206" s="27" t="s">
        <v>1014</v>
      </c>
      <c r="E206" s="28">
        <f>Source!AQ107</f>
        <v>65</v>
      </c>
      <c r="F206" s="29"/>
      <c r="G206" s="30" t="str">
        <f>Source!DI107</f>
        <v>)*1,15</v>
      </c>
      <c r="H206" s="28">
        <f>Source!AV107</f>
        <v>1</v>
      </c>
      <c r="I206" s="29">
        <f>Source!U107</f>
        <v>56.0625</v>
      </c>
      <c r="J206" s="28"/>
      <c r="K206" s="29"/>
      <c r="AB206" s="25">
        <f>I206</f>
        <v>56.0625</v>
      </c>
    </row>
    <row r="207" spans="1:35" ht="15" x14ac:dyDescent="0.25">
      <c r="C207" s="13" t="s">
        <v>1015</v>
      </c>
      <c r="H207" s="50">
        <f>I196+I197+I199+I203+I204+I205+SUM(I200:I202)</f>
        <v>3156.6000000000004</v>
      </c>
      <c r="I207" s="50"/>
      <c r="J207" s="50">
        <f>K196+K197+K199+K203+K204+K205+SUM(K200:K202)</f>
        <v>63631.81</v>
      </c>
      <c r="K207" s="50"/>
      <c r="O207" s="25">
        <f>I196+I197+I199+I203+I204+I205+SUM(I200:I202)</f>
        <v>3156.6000000000004</v>
      </c>
      <c r="P207" s="25">
        <f>K196+K197+K199+K203+K204+K205+SUM(K200:K202)</f>
        <v>63631.81</v>
      </c>
      <c r="X207">
        <f>IF(Source!BI107&lt;=1,I196+I197+I199+I203+I204+I205-0, 0)</f>
        <v>2173.38</v>
      </c>
      <c r="Y207">
        <f>IF(Source!BI107=2,I196+I197+I199+I203+I204+I205-0, 0)</f>
        <v>0</v>
      </c>
      <c r="Z207">
        <f>IF(Source!BI107=3,I196+I197+I199+I203+I204+I205-0, 0)</f>
        <v>0</v>
      </c>
      <c r="AA207">
        <f>IF(Source!BI107=4,I196+I197+I199+I203+I204+I205,0)</f>
        <v>0</v>
      </c>
    </row>
    <row r="209" spans="1:35" ht="57" x14ac:dyDescent="0.2">
      <c r="A209" s="20">
        <v>15</v>
      </c>
      <c r="B209" s="20" t="str">
        <f>Source!F111</f>
        <v>3.15-149-1</v>
      </c>
      <c r="C209" s="20" t="s">
        <v>268</v>
      </c>
      <c r="D209" s="22" t="str">
        <f>Source!H111</f>
        <v>100 м2</v>
      </c>
      <c r="E209" s="21">
        <f>Source!I111</f>
        <v>0.75</v>
      </c>
      <c r="F209" s="24"/>
      <c r="G209" s="23"/>
      <c r="H209" s="21"/>
      <c r="I209" s="24"/>
      <c r="J209" s="21"/>
      <c r="K209" s="24"/>
      <c r="Q209">
        <f>ROUND((Source!DN111/100)*ROUND((ROUND((Source!AF111*Source!AV111*Source!I111),2)),2), 2)</f>
        <v>1174.8900000000001</v>
      </c>
      <c r="R209">
        <f>Source!X111</f>
        <v>29352.28</v>
      </c>
      <c r="S209">
        <f>ROUND((Source!DO111/100)*ROUND((ROUND((Source!AF111*Source!AV111*Source!I111),2)),2), 2)</f>
        <v>751.93</v>
      </c>
      <c r="T209">
        <f>Source!Y111</f>
        <v>14499.32</v>
      </c>
      <c r="U209">
        <f>ROUND((175/100)*ROUND((ROUND((Source!AE111*Source!AV111*Source!I111),2)),2), 2)</f>
        <v>1.91</v>
      </c>
      <c r="V209">
        <f>ROUND((160/100)*ROUND(ROUND((ROUND((Source!AE111*Source!AV111*Source!I111),2)*Source!BS111),2), 2), 2)</f>
        <v>52.5</v>
      </c>
      <c r="AI209">
        <v>0</v>
      </c>
    </row>
    <row r="210" spans="1:35" x14ac:dyDescent="0.2">
      <c r="C210" s="31" t="str">
        <f>"Объем: "&amp;Source!I111&amp;"=75/"&amp;"100"</f>
        <v>Объем: 0,75=75/100</v>
      </c>
    </row>
    <row r="211" spans="1:35" ht="14.25" x14ac:dyDescent="0.2">
      <c r="A211" s="20"/>
      <c r="B211" s="20"/>
      <c r="C211" s="20" t="s">
        <v>1009</v>
      </c>
      <c r="D211" s="22"/>
      <c r="E211" s="21"/>
      <c r="F211" s="24">
        <f>Source!AO111</f>
        <v>1362.19</v>
      </c>
      <c r="G211" s="23" t="str">
        <f>Source!DG111</f>
        <v>)*1,15</v>
      </c>
      <c r="H211" s="21">
        <f>Source!AV111</f>
        <v>1</v>
      </c>
      <c r="I211" s="24">
        <f>ROUND((ROUND((Source!AF111*Source!AV111*Source!I111),2)),2)</f>
        <v>1174.8900000000001</v>
      </c>
      <c r="J211" s="21">
        <f>IF(Source!BA111&lt;&gt; 0, Source!BA111, 1)</f>
        <v>30.1</v>
      </c>
      <c r="K211" s="24">
        <f>Source!S111</f>
        <v>35364.19</v>
      </c>
      <c r="W211">
        <f>I211</f>
        <v>1174.8900000000001</v>
      </c>
    </row>
    <row r="212" spans="1:35" ht="14.25" x14ac:dyDescent="0.2">
      <c r="A212" s="20"/>
      <c r="B212" s="20"/>
      <c r="C212" s="20" t="s">
        <v>1016</v>
      </c>
      <c r="D212" s="22"/>
      <c r="E212" s="21"/>
      <c r="F212" s="24">
        <f>Source!AM111</f>
        <v>14.28</v>
      </c>
      <c r="G212" s="23" t="str">
        <f>Source!DE111</f>
        <v>)*1,25</v>
      </c>
      <c r="H212" s="21">
        <f>Source!AV111</f>
        <v>1</v>
      </c>
      <c r="I212" s="24">
        <f>(ROUND((ROUND((((Source!ET111*1.25))*Source!AV111*Source!I111),2)),2)+ROUND((ROUND(((Source!AE111-((Source!EU111*1.25)))*Source!AV111*Source!I111),2)),2))</f>
        <v>13.39</v>
      </c>
      <c r="J212" s="21">
        <f>IF(Source!BB111&lt;&gt; 0, Source!BB111, 1)</f>
        <v>11.16</v>
      </c>
      <c r="K212" s="24">
        <f>Source!Q111</f>
        <v>149.43</v>
      </c>
    </row>
    <row r="213" spans="1:35" ht="14.25" x14ac:dyDescent="0.2">
      <c r="A213" s="20"/>
      <c r="B213" s="20"/>
      <c r="C213" s="20" t="s">
        <v>1017</v>
      </c>
      <c r="D213" s="22"/>
      <c r="E213" s="21"/>
      <c r="F213" s="24">
        <f>Source!AN111</f>
        <v>1.1599999999999999</v>
      </c>
      <c r="G213" s="23" t="str">
        <f>Source!DF111</f>
        <v>)*1,25</v>
      </c>
      <c r="H213" s="21">
        <f>Source!AV111</f>
        <v>1</v>
      </c>
      <c r="I213" s="32">
        <f>ROUND((ROUND((Source!AE111*Source!AV111*Source!I111),2)),2)</f>
        <v>1.0900000000000001</v>
      </c>
      <c r="J213" s="21">
        <f>IF(Source!BS111&lt;&gt; 0, Source!BS111, 1)</f>
        <v>30.1</v>
      </c>
      <c r="K213" s="32">
        <f>Source!R111</f>
        <v>32.81</v>
      </c>
      <c r="W213">
        <f>I213</f>
        <v>1.0900000000000001</v>
      </c>
    </row>
    <row r="214" spans="1:35" ht="14.25" x14ac:dyDescent="0.2">
      <c r="A214" s="20"/>
      <c r="B214" s="20"/>
      <c r="C214" s="20" t="s">
        <v>1019</v>
      </c>
      <c r="D214" s="22"/>
      <c r="E214" s="21"/>
      <c r="F214" s="24">
        <f>Source!AL111</f>
        <v>83.42</v>
      </c>
      <c r="G214" s="23" t="str">
        <f>Source!DD111</f>
        <v/>
      </c>
      <c r="H214" s="21">
        <f>Source!AW111</f>
        <v>1</v>
      </c>
      <c r="I214" s="24">
        <f>ROUND((ROUND((Source!AC111*Source!AW111*Source!I111),2)),2)</f>
        <v>62.57</v>
      </c>
      <c r="J214" s="21">
        <f>IF(Source!BC111&lt;&gt; 0, Source!BC111, 1)</f>
        <v>2.79</v>
      </c>
      <c r="K214" s="24">
        <f>Source!P111</f>
        <v>174.57</v>
      </c>
    </row>
    <row r="215" spans="1:35" ht="28.5" x14ac:dyDescent="0.2">
      <c r="A215" s="20" t="s">
        <v>272</v>
      </c>
      <c r="B215" s="20" t="str">
        <f>Source!F112</f>
        <v>1.3-2-138</v>
      </c>
      <c r="C215" s="20" t="s">
        <v>274</v>
      </c>
      <c r="D215" s="22" t="str">
        <f>Source!H112</f>
        <v>т</v>
      </c>
      <c r="E215" s="21">
        <f>Source!I112</f>
        <v>4.1250000000000002E-2</v>
      </c>
      <c r="F215" s="24">
        <f>Source!AK112</f>
        <v>27362.67</v>
      </c>
      <c r="G215" s="33" t="s">
        <v>3</v>
      </c>
      <c r="H215" s="21">
        <f>Source!AW112</f>
        <v>1</v>
      </c>
      <c r="I215" s="24">
        <f>ROUND((ROUND((Source!AC112*Source!AW112*Source!I112),2)),2)+(ROUND((ROUND(((Source!ET112)*Source!AV112*Source!I112),2)),2)+ROUND((ROUND(((Source!AE112-(Source!EU112))*Source!AV112*Source!I112),2)),2))+ROUND((ROUND((Source!AF112*Source!AV112*Source!I112),2)),2)</f>
        <v>1128.71</v>
      </c>
      <c r="J215" s="21">
        <f>IF(Source!BC112&lt;&gt; 0, Source!BC112, 1)</f>
        <v>3.34</v>
      </c>
      <c r="K215" s="24">
        <f>Source!O112</f>
        <v>3769.89</v>
      </c>
      <c r="Q215">
        <f>ROUND((Source!DN112/100)*ROUND((ROUND((Source!AF112*Source!AV112*Source!I112),2)),2), 2)</f>
        <v>0</v>
      </c>
      <c r="R215">
        <f>Source!X112</f>
        <v>0</v>
      </c>
      <c r="S215">
        <f>ROUND((Source!DO112/100)*ROUND((ROUND((Source!AF112*Source!AV112*Source!I112),2)),2), 2)</f>
        <v>0</v>
      </c>
      <c r="T215">
        <f>Source!Y112</f>
        <v>0</v>
      </c>
      <c r="U215">
        <f>ROUND((175/100)*ROUND((ROUND((Source!AE112*Source!AV112*Source!I112),2)),2), 2)</f>
        <v>0</v>
      </c>
      <c r="V215">
        <f>ROUND((160/100)*ROUND(ROUND((ROUND((Source!AE112*Source!AV112*Source!I112),2)*Source!BS112),2), 2), 2)</f>
        <v>0</v>
      </c>
      <c r="X215">
        <f>IF(Source!BI112&lt;=1,I215, 0)</f>
        <v>1128.71</v>
      </c>
      <c r="Y215">
        <f>IF(Source!BI112=2,I215, 0)</f>
        <v>0</v>
      </c>
      <c r="Z215">
        <f>IF(Source!BI112=3,I215, 0)</f>
        <v>0</v>
      </c>
      <c r="AA215">
        <f>IF(Source!BI112=4,I215, 0)</f>
        <v>0</v>
      </c>
      <c r="AI215">
        <v>3</v>
      </c>
    </row>
    <row r="216" spans="1:35" ht="99.75" x14ac:dyDescent="0.2">
      <c r="A216" s="20" t="s">
        <v>276</v>
      </c>
      <c r="B216" s="20" t="str">
        <f>Source!F113</f>
        <v>1.3-2-167</v>
      </c>
      <c r="C216" s="20" t="s">
        <v>278</v>
      </c>
      <c r="D216" s="22" t="str">
        <f>Source!H113</f>
        <v>т</v>
      </c>
      <c r="E216" s="21">
        <f>Source!I113</f>
        <v>0.28125</v>
      </c>
      <c r="F216" s="24">
        <f>Source!AK113</f>
        <v>3971.63</v>
      </c>
      <c r="G216" s="33" t="s">
        <v>3</v>
      </c>
      <c r="H216" s="21">
        <f>Source!AW113</f>
        <v>1</v>
      </c>
      <c r="I216" s="24">
        <f>ROUND((ROUND((Source!AC113*Source!AW113*Source!I113),2)),2)+(ROUND((ROUND(((Source!ET113)*Source!AV113*Source!I113),2)),2)+ROUND((ROUND(((Source!AE113-(Source!EU113))*Source!AV113*Source!I113),2)),2))+ROUND((ROUND((Source!AF113*Source!AV113*Source!I113),2)),2)</f>
        <v>1117.02</v>
      </c>
      <c r="J216" s="21">
        <f>IF(Source!BC113&lt;&gt; 0, Source!BC113, 1)</f>
        <v>3.15</v>
      </c>
      <c r="K216" s="24">
        <f>Source!O113</f>
        <v>3518.61</v>
      </c>
      <c r="Q216">
        <f>ROUND((Source!DN113/100)*ROUND((ROUND((Source!AF113*Source!AV113*Source!I113),2)),2), 2)</f>
        <v>0</v>
      </c>
      <c r="R216">
        <f>Source!X113</f>
        <v>0</v>
      </c>
      <c r="S216">
        <f>ROUND((Source!DO113/100)*ROUND((ROUND((Source!AF113*Source!AV113*Source!I113),2)),2), 2)</f>
        <v>0</v>
      </c>
      <c r="T216">
        <f>Source!Y113</f>
        <v>0</v>
      </c>
      <c r="U216">
        <f>ROUND((175/100)*ROUND((ROUND((Source!AE113*Source!AV113*Source!I113),2)),2), 2)</f>
        <v>0</v>
      </c>
      <c r="V216">
        <f>ROUND((160/100)*ROUND(ROUND((ROUND((Source!AE113*Source!AV113*Source!I113),2)*Source!BS113),2), 2), 2)</f>
        <v>0</v>
      </c>
      <c r="X216">
        <f>IF(Source!BI113&lt;=1,I216, 0)</f>
        <v>1117.02</v>
      </c>
      <c r="Y216">
        <f>IF(Source!BI113=2,I216, 0)</f>
        <v>0</v>
      </c>
      <c r="Z216">
        <f>IF(Source!BI113=3,I216, 0)</f>
        <v>0</v>
      </c>
      <c r="AA216">
        <f>IF(Source!BI113=4,I216, 0)</f>
        <v>0</v>
      </c>
      <c r="AI216">
        <v>3</v>
      </c>
    </row>
    <row r="217" spans="1:35" ht="57" x14ac:dyDescent="0.2">
      <c r="A217" s="20" t="s">
        <v>280</v>
      </c>
      <c r="B217" s="20" t="str">
        <f>Source!F114</f>
        <v>1.1-1-4103</v>
      </c>
      <c r="C217" s="20" t="s">
        <v>282</v>
      </c>
      <c r="D217" s="22" t="str">
        <f>Source!H114</f>
        <v>м2</v>
      </c>
      <c r="E217" s="21">
        <f>Source!I114</f>
        <v>75</v>
      </c>
      <c r="F217" s="24">
        <f>Source!AK114</f>
        <v>88.91</v>
      </c>
      <c r="G217" s="33" t="s">
        <v>3</v>
      </c>
      <c r="H217" s="21">
        <f>Source!AW114</f>
        <v>1</v>
      </c>
      <c r="I217" s="24">
        <f>ROUND((ROUND((Source!AC114*Source!AW114*Source!I114),2)),2)+(ROUND((ROUND(((Source!ET114)*Source!AV114*Source!I114),2)),2)+ROUND((ROUND(((Source!AE114-(Source!EU114))*Source!AV114*Source!I114),2)),2))+ROUND((ROUND((Source!AF114*Source!AV114*Source!I114),2)),2)</f>
        <v>6668.25</v>
      </c>
      <c r="J217" s="21">
        <f>IF(Source!BC114&lt;&gt; 0, Source!BC114, 1)</f>
        <v>8.1300000000000008</v>
      </c>
      <c r="K217" s="24">
        <f>Source!O114</f>
        <v>54212.87</v>
      </c>
      <c r="Q217">
        <f>ROUND((Source!DN114/100)*ROUND((ROUND((Source!AF114*Source!AV114*Source!I114),2)),2), 2)</f>
        <v>0</v>
      </c>
      <c r="R217">
        <f>Source!X114</f>
        <v>0</v>
      </c>
      <c r="S217">
        <f>ROUND((Source!DO114/100)*ROUND((ROUND((Source!AF114*Source!AV114*Source!I114),2)),2), 2)</f>
        <v>0</v>
      </c>
      <c r="T217">
        <f>Source!Y114</f>
        <v>0</v>
      </c>
      <c r="U217">
        <f>ROUND((175/100)*ROUND((ROUND((Source!AE114*Source!AV114*Source!I114),2)),2), 2)</f>
        <v>0</v>
      </c>
      <c r="V217">
        <f>ROUND((160/100)*ROUND(ROUND((ROUND((Source!AE114*Source!AV114*Source!I114),2)*Source!BS114),2), 2), 2)</f>
        <v>0</v>
      </c>
      <c r="X217">
        <f>IF(Source!BI114&lt;=1,I217, 0)</f>
        <v>6668.25</v>
      </c>
      <c r="Y217">
        <f>IF(Source!BI114=2,I217, 0)</f>
        <v>0</v>
      </c>
      <c r="Z217">
        <f>IF(Source!BI114=3,I217, 0)</f>
        <v>0</v>
      </c>
      <c r="AA217">
        <f>IF(Source!BI114=4,I217, 0)</f>
        <v>0</v>
      </c>
      <c r="AI217">
        <v>3</v>
      </c>
    </row>
    <row r="218" spans="1:35" ht="14.25" x14ac:dyDescent="0.2">
      <c r="A218" s="20"/>
      <c r="B218" s="20"/>
      <c r="C218" s="20" t="s">
        <v>1010</v>
      </c>
      <c r="D218" s="22" t="s">
        <v>1011</v>
      </c>
      <c r="E218" s="21">
        <f>Source!DN111</f>
        <v>100</v>
      </c>
      <c r="F218" s="24"/>
      <c r="G218" s="23"/>
      <c r="H218" s="21"/>
      <c r="I218" s="24">
        <f>SUM(Q209:Q217)</f>
        <v>1174.8900000000001</v>
      </c>
      <c r="J218" s="21">
        <f>Source!BZ111</f>
        <v>83</v>
      </c>
      <c r="K218" s="24">
        <f>SUM(R209:R217)</f>
        <v>29352.28</v>
      </c>
    </row>
    <row r="219" spans="1:35" ht="14.25" x14ac:dyDescent="0.2">
      <c r="A219" s="20"/>
      <c r="B219" s="20"/>
      <c r="C219" s="20" t="s">
        <v>1012</v>
      </c>
      <c r="D219" s="22" t="s">
        <v>1011</v>
      </c>
      <c r="E219" s="21">
        <f>Source!DO111</f>
        <v>64</v>
      </c>
      <c r="F219" s="24"/>
      <c r="G219" s="23"/>
      <c r="H219" s="21"/>
      <c r="I219" s="24">
        <f>SUM(S209:S218)</f>
        <v>751.93</v>
      </c>
      <c r="J219" s="21">
        <f>Source!CA111</f>
        <v>41</v>
      </c>
      <c r="K219" s="24">
        <f>SUM(T209:T218)</f>
        <v>14499.32</v>
      </c>
    </row>
    <row r="220" spans="1:35" ht="14.25" x14ac:dyDescent="0.2">
      <c r="A220" s="20"/>
      <c r="B220" s="20"/>
      <c r="C220" s="20" t="s">
        <v>1018</v>
      </c>
      <c r="D220" s="22" t="s">
        <v>1011</v>
      </c>
      <c r="E220" s="21">
        <f>175</f>
        <v>175</v>
      </c>
      <c r="F220" s="24"/>
      <c r="G220" s="23"/>
      <c r="H220" s="21"/>
      <c r="I220" s="24">
        <f>SUM(U209:U219)</f>
        <v>1.91</v>
      </c>
      <c r="J220" s="21">
        <f>160</f>
        <v>160</v>
      </c>
      <c r="K220" s="24">
        <f>SUM(V209:V219)</f>
        <v>52.5</v>
      </c>
    </row>
    <row r="221" spans="1:35" ht="14.25" x14ac:dyDescent="0.2">
      <c r="A221" s="26"/>
      <c r="B221" s="26"/>
      <c r="C221" s="26" t="s">
        <v>1013</v>
      </c>
      <c r="D221" s="27" t="s">
        <v>1014</v>
      </c>
      <c r="E221" s="28">
        <f>Source!AQ111</f>
        <v>115.26</v>
      </c>
      <c r="F221" s="29"/>
      <c r="G221" s="30" t="str">
        <f>Source!DI111</f>
        <v>)*1,15</v>
      </c>
      <c r="H221" s="28">
        <f>Source!AV111</f>
        <v>1</v>
      </c>
      <c r="I221" s="29">
        <f>Source!U111</f>
        <v>99.411750000000012</v>
      </c>
      <c r="J221" s="28"/>
      <c r="K221" s="29"/>
      <c r="AB221" s="25">
        <f>I221</f>
        <v>99.411750000000012</v>
      </c>
    </row>
    <row r="222" spans="1:35" ht="15" x14ac:dyDescent="0.25">
      <c r="C222" s="13" t="s">
        <v>1015</v>
      </c>
      <c r="H222" s="50">
        <f>I211+I212+I214+I218+I219+I220+SUM(I215:I217)</f>
        <v>12093.56</v>
      </c>
      <c r="I222" s="50"/>
      <c r="J222" s="50">
        <f>K211+K212+K214+K218+K219+K220+SUM(K215:K217)</f>
        <v>141093.66</v>
      </c>
      <c r="K222" s="50"/>
      <c r="O222" s="25">
        <f>I211+I212+I214+I218+I219+I220+SUM(I215:I217)</f>
        <v>12093.56</v>
      </c>
      <c r="P222" s="25">
        <f>K211+K212+K214+K218+K219+K220+SUM(K215:K217)</f>
        <v>141093.66</v>
      </c>
      <c r="X222">
        <f>IF(Source!BI111&lt;=1,I211+I212+I214+I218+I219+I220-0, 0)</f>
        <v>3179.58</v>
      </c>
      <c r="Y222">
        <f>IF(Source!BI111=2,I211+I212+I214+I218+I219+I220-0, 0)</f>
        <v>0</v>
      </c>
      <c r="Z222">
        <f>IF(Source!BI111=3,I211+I212+I214+I218+I219+I220-0, 0)</f>
        <v>0</v>
      </c>
      <c r="AA222">
        <f>IF(Source!BI111=4,I211+I212+I214+I218+I219+I220,0)</f>
        <v>0</v>
      </c>
    </row>
    <row r="224" spans="1:35" ht="85.5" x14ac:dyDescent="0.2">
      <c r="A224" s="20">
        <v>16</v>
      </c>
      <c r="B224" s="20" t="str">
        <f>Source!F115</f>
        <v>3.15-52-3</v>
      </c>
      <c r="C224" s="20" t="s">
        <v>286</v>
      </c>
      <c r="D224" s="22" t="str">
        <f>Source!H115</f>
        <v>100 м2 оштукатуриваемой поверхности</v>
      </c>
      <c r="E224" s="21">
        <f>Source!I115</f>
        <v>1.5</v>
      </c>
      <c r="F224" s="24"/>
      <c r="G224" s="23"/>
      <c r="H224" s="21"/>
      <c r="I224" s="24"/>
      <c r="J224" s="21"/>
      <c r="K224" s="24"/>
      <c r="Q224">
        <f>ROUND((Source!DN115/100)*ROUND((ROUND((Source!AF115*Source!AV115*Source!I115),2)),2), 2)</f>
        <v>1659.45</v>
      </c>
      <c r="R224">
        <f>Source!X115</f>
        <v>41458.04</v>
      </c>
      <c r="S224">
        <f>ROUND((Source!DO115/100)*ROUND((ROUND((Source!AF115*Source!AV115*Source!I115),2)),2), 2)</f>
        <v>1062.05</v>
      </c>
      <c r="T224">
        <f>Source!Y115</f>
        <v>20479.27</v>
      </c>
      <c r="U224">
        <f>ROUND((175/100)*ROUND((ROUND((Source!AE115*Source!AV115*Source!I115),2)),2), 2)</f>
        <v>205.99</v>
      </c>
      <c r="V224">
        <f>ROUND((160/100)*ROUND(ROUND((ROUND((Source!AE115*Source!AV115*Source!I115),2)*Source!BS115),2), 2), 2)</f>
        <v>5668.91</v>
      </c>
      <c r="AI224">
        <v>0</v>
      </c>
    </row>
    <row r="225" spans="1:35" x14ac:dyDescent="0.2">
      <c r="C225" s="31" t="str">
        <f>"Объем: "&amp;Source!I115&amp;"=150/"&amp;"100"</f>
        <v>Объем: 1,5=150/100</v>
      </c>
    </row>
    <row r="226" spans="1:35" ht="14.25" x14ac:dyDescent="0.2">
      <c r="A226" s="20"/>
      <c r="B226" s="20"/>
      <c r="C226" s="20" t="s">
        <v>1009</v>
      </c>
      <c r="D226" s="22"/>
      <c r="E226" s="21"/>
      <c r="F226" s="24">
        <f>Source!AO115</f>
        <v>962</v>
      </c>
      <c r="G226" s="23" t="str">
        <f>Source!DG115</f>
        <v>)*1,15</v>
      </c>
      <c r="H226" s="21">
        <f>Source!AV115</f>
        <v>1</v>
      </c>
      <c r="I226" s="24">
        <f>ROUND((ROUND((Source!AF115*Source!AV115*Source!I115),2)),2)</f>
        <v>1659.45</v>
      </c>
      <c r="J226" s="21">
        <f>IF(Source!BA115&lt;&gt; 0, Source!BA115, 1)</f>
        <v>30.1</v>
      </c>
      <c r="K226" s="24">
        <f>Source!S115</f>
        <v>49949.45</v>
      </c>
      <c r="W226">
        <f>I226</f>
        <v>1659.45</v>
      </c>
    </row>
    <row r="227" spans="1:35" ht="14.25" x14ac:dyDescent="0.2">
      <c r="A227" s="20"/>
      <c r="B227" s="20"/>
      <c r="C227" s="20" t="s">
        <v>1016</v>
      </c>
      <c r="D227" s="22"/>
      <c r="E227" s="21"/>
      <c r="F227" s="24">
        <f>Source!AM115</f>
        <v>123.89</v>
      </c>
      <c r="G227" s="23" t="str">
        <f>Source!DE115</f>
        <v>)*1,25</v>
      </c>
      <c r="H227" s="21">
        <f>Source!AV115</f>
        <v>1</v>
      </c>
      <c r="I227" s="24">
        <f>(ROUND((ROUND((((Source!ET115*1.25))*Source!AV115*Source!I115),2)),2)+ROUND((ROUND(((Source!AE115-((Source!EU115*1.25)))*Source!AV115*Source!I115),2)),2))</f>
        <v>232.29</v>
      </c>
      <c r="J227" s="21">
        <f>IF(Source!BB115&lt;&gt; 0, Source!BB115, 1)</f>
        <v>21.08</v>
      </c>
      <c r="K227" s="24">
        <f>Source!Q115</f>
        <v>4896.67</v>
      </c>
    </row>
    <row r="228" spans="1:35" ht="14.25" x14ac:dyDescent="0.2">
      <c r="A228" s="20"/>
      <c r="B228" s="20"/>
      <c r="C228" s="20" t="s">
        <v>1017</v>
      </c>
      <c r="D228" s="22"/>
      <c r="E228" s="21"/>
      <c r="F228" s="24">
        <f>Source!AN115</f>
        <v>62.78</v>
      </c>
      <c r="G228" s="23" t="str">
        <f>Source!DF115</f>
        <v>)*1,25</v>
      </c>
      <c r="H228" s="21">
        <f>Source!AV115</f>
        <v>1</v>
      </c>
      <c r="I228" s="32">
        <f>ROUND((ROUND((Source!AE115*Source!AV115*Source!I115),2)),2)</f>
        <v>117.71</v>
      </c>
      <c r="J228" s="21">
        <f>IF(Source!BS115&lt;&gt; 0, Source!BS115, 1)</f>
        <v>30.1</v>
      </c>
      <c r="K228" s="32">
        <f>Source!R115</f>
        <v>3543.07</v>
      </c>
      <c r="W228">
        <f>I228</f>
        <v>117.71</v>
      </c>
    </row>
    <row r="229" spans="1:35" ht="14.25" x14ac:dyDescent="0.2">
      <c r="A229" s="20"/>
      <c r="B229" s="20"/>
      <c r="C229" s="20" t="s">
        <v>1019</v>
      </c>
      <c r="D229" s="22"/>
      <c r="E229" s="21"/>
      <c r="F229" s="24">
        <f>Source!AL115</f>
        <v>194.07</v>
      </c>
      <c r="G229" s="23" t="str">
        <f>Source!DD115</f>
        <v/>
      </c>
      <c r="H229" s="21">
        <f>Source!AW115</f>
        <v>1</v>
      </c>
      <c r="I229" s="24">
        <f>ROUND((ROUND((Source!AC115*Source!AW115*Source!I115),2)),2)</f>
        <v>291.11</v>
      </c>
      <c r="J229" s="21">
        <f>IF(Source!BC115&lt;&gt; 0, Source!BC115, 1)</f>
        <v>28.46</v>
      </c>
      <c r="K229" s="24">
        <f>Source!P115</f>
        <v>8284.99</v>
      </c>
    </row>
    <row r="230" spans="1:35" ht="14.25" x14ac:dyDescent="0.2">
      <c r="A230" s="20" t="s">
        <v>288</v>
      </c>
      <c r="B230" s="20" t="str">
        <f>Source!F116</f>
        <v>1.1-1-118</v>
      </c>
      <c r="C230" s="20" t="s">
        <v>69</v>
      </c>
      <c r="D230" s="22" t="str">
        <f>Source!H116</f>
        <v>м3</v>
      </c>
      <c r="E230" s="21">
        <f>Source!I116</f>
        <v>0.15708</v>
      </c>
      <c r="F230" s="24">
        <f>Source!AK116</f>
        <v>7.07</v>
      </c>
      <c r="G230" s="33" t="s">
        <v>3</v>
      </c>
      <c r="H230" s="21">
        <f>Source!AW116</f>
        <v>1</v>
      </c>
      <c r="I230" s="24">
        <f>ROUND((ROUND((Source!AC116*Source!AW116*Source!I116),2)),2)+(ROUND((ROUND(((Source!ET116)*Source!AV116*Source!I116),2)),2)+ROUND((ROUND(((Source!AE116-(Source!EU116))*Source!AV116*Source!I116),2)),2))+ROUND((ROUND((Source!AF116*Source!AV116*Source!I116),2)),2)</f>
        <v>1.1100000000000001</v>
      </c>
      <c r="J230" s="21">
        <f>IF(Source!BC116&lt;&gt; 0, Source!BC116, 1)</f>
        <v>6</v>
      </c>
      <c r="K230" s="24">
        <f>Source!O116</f>
        <v>6.66</v>
      </c>
      <c r="Q230">
        <f>ROUND((Source!DN116/100)*ROUND((ROUND((Source!AF116*Source!AV116*Source!I116),2)),2), 2)</f>
        <v>0</v>
      </c>
      <c r="R230">
        <f>Source!X116</f>
        <v>0</v>
      </c>
      <c r="S230">
        <f>ROUND((Source!DO116/100)*ROUND((ROUND((Source!AF116*Source!AV116*Source!I116),2)),2), 2)</f>
        <v>0</v>
      </c>
      <c r="T230">
        <f>Source!Y116</f>
        <v>0</v>
      </c>
      <c r="U230">
        <f>ROUND((175/100)*ROUND((ROUND((Source!AE116*Source!AV116*Source!I116),2)),2), 2)</f>
        <v>0</v>
      </c>
      <c r="V230">
        <f>ROUND((160/100)*ROUND(ROUND((ROUND((Source!AE116*Source!AV116*Source!I116),2)*Source!BS116),2), 2), 2)</f>
        <v>0</v>
      </c>
      <c r="X230">
        <f>IF(Source!BI116&lt;=1,I230, 0)</f>
        <v>1.1100000000000001</v>
      </c>
      <c r="Y230">
        <f>IF(Source!BI116=2,I230, 0)</f>
        <v>0</v>
      </c>
      <c r="Z230">
        <f>IF(Source!BI116=3,I230, 0)</f>
        <v>0</v>
      </c>
      <c r="AA230">
        <f>IF(Source!BI116=4,I230, 0)</f>
        <v>0</v>
      </c>
      <c r="AI230">
        <v>3</v>
      </c>
    </row>
    <row r="231" spans="1:35" ht="71.25" x14ac:dyDescent="0.2">
      <c r="A231" s="20" t="s">
        <v>289</v>
      </c>
      <c r="B231" s="20" t="str">
        <f>Source!F117</f>
        <v>1.3-2-29</v>
      </c>
      <c r="C231" s="20" t="s">
        <v>74</v>
      </c>
      <c r="D231" s="22" t="str">
        <f>Source!H117</f>
        <v>т</v>
      </c>
      <c r="E231" s="21">
        <f>Source!I117</f>
        <v>0.89759999999999995</v>
      </c>
      <c r="F231" s="24">
        <f>Source!AK117</f>
        <v>1517.68</v>
      </c>
      <c r="G231" s="33" t="s">
        <v>3</v>
      </c>
      <c r="H231" s="21">
        <f>Source!AW117</f>
        <v>1</v>
      </c>
      <c r="I231" s="24">
        <f>ROUND((ROUND((Source!AC117*Source!AW117*Source!I117),2)),2)+(ROUND((ROUND(((Source!ET117)*Source!AV117*Source!I117),2)),2)+ROUND((ROUND(((Source!AE117-(Source!EU117))*Source!AV117*Source!I117),2)),2))+ROUND((ROUND((Source!AF117*Source!AV117*Source!I117),2)),2)</f>
        <v>1362.27</v>
      </c>
      <c r="J231" s="21">
        <f>IF(Source!BC117&lt;&gt; 0, Source!BC117, 1)</f>
        <v>7.37</v>
      </c>
      <c r="K231" s="24">
        <f>Source!O117</f>
        <v>10039.93</v>
      </c>
      <c r="Q231">
        <f>ROUND((Source!DN117/100)*ROUND((ROUND((Source!AF117*Source!AV117*Source!I117),2)),2), 2)</f>
        <v>0</v>
      </c>
      <c r="R231">
        <f>Source!X117</f>
        <v>0</v>
      </c>
      <c r="S231">
        <f>ROUND((Source!DO117/100)*ROUND((ROUND((Source!AF117*Source!AV117*Source!I117),2)),2), 2)</f>
        <v>0</v>
      </c>
      <c r="T231">
        <f>Source!Y117</f>
        <v>0</v>
      </c>
      <c r="U231">
        <f>ROUND((175/100)*ROUND((ROUND((Source!AE117*Source!AV117*Source!I117),2)),2), 2)</f>
        <v>0</v>
      </c>
      <c r="V231">
        <f>ROUND((160/100)*ROUND(ROUND((ROUND((Source!AE117*Source!AV117*Source!I117),2)*Source!BS117),2), 2), 2)</f>
        <v>0</v>
      </c>
      <c r="X231">
        <f>IF(Source!BI117&lt;=1,I231, 0)</f>
        <v>1362.27</v>
      </c>
      <c r="Y231">
        <f>IF(Source!BI117=2,I231, 0)</f>
        <v>0</v>
      </c>
      <c r="Z231">
        <f>IF(Source!BI117=3,I231, 0)</f>
        <v>0</v>
      </c>
      <c r="AA231">
        <f>IF(Source!BI117=4,I231, 0)</f>
        <v>0</v>
      </c>
      <c r="AI231">
        <v>3</v>
      </c>
    </row>
    <row r="232" spans="1:35" ht="28.5" x14ac:dyDescent="0.2">
      <c r="A232" s="20" t="s">
        <v>290</v>
      </c>
      <c r="B232" s="20" t="str">
        <f>Source!F118</f>
        <v>1.3-2-13</v>
      </c>
      <c r="C232" s="20" t="s">
        <v>79</v>
      </c>
      <c r="D232" s="22" t="str">
        <f>Source!H118</f>
        <v>м3</v>
      </c>
      <c r="E232" s="21">
        <f>Source!I118</f>
        <v>2.2440000000000002</v>
      </c>
      <c r="F232" s="24">
        <f>Source!AK118</f>
        <v>481.69</v>
      </c>
      <c r="G232" s="33" t="s">
        <v>3</v>
      </c>
      <c r="H232" s="21">
        <f>Source!AW118</f>
        <v>1</v>
      </c>
      <c r="I232" s="24">
        <f>ROUND((ROUND((Source!AC118*Source!AW118*Source!I118),2)),2)+(ROUND((ROUND(((Source!ET118)*Source!AV118*Source!I118),2)),2)+ROUND((ROUND(((Source!AE118-(Source!EU118))*Source!AV118*Source!I118),2)),2))+ROUND((ROUND((Source!AF118*Source!AV118*Source!I118),2)),2)</f>
        <v>1080.9100000000001</v>
      </c>
      <c r="J232" s="21">
        <f>IF(Source!BC118&lt;&gt; 0, Source!BC118, 1)</f>
        <v>9.43</v>
      </c>
      <c r="K232" s="24">
        <f>Source!O118</f>
        <v>10192.98</v>
      </c>
      <c r="Q232">
        <f>ROUND((Source!DN118/100)*ROUND((ROUND((Source!AF118*Source!AV118*Source!I118),2)),2), 2)</f>
        <v>0</v>
      </c>
      <c r="R232">
        <f>Source!X118</f>
        <v>0</v>
      </c>
      <c r="S232">
        <f>ROUND((Source!DO118/100)*ROUND((ROUND((Source!AF118*Source!AV118*Source!I118),2)),2), 2)</f>
        <v>0</v>
      </c>
      <c r="T232">
        <f>Source!Y118</f>
        <v>0</v>
      </c>
      <c r="U232">
        <f>ROUND((175/100)*ROUND((ROUND((Source!AE118*Source!AV118*Source!I118),2)),2), 2)</f>
        <v>0</v>
      </c>
      <c r="V232">
        <f>ROUND((160/100)*ROUND(ROUND((ROUND((Source!AE118*Source!AV118*Source!I118),2)*Source!BS118),2), 2), 2)</f>
        <v>0</v>
      </c>
      <c r="X232">
        <f>IF(Source!BI118&lt;=1,I232, 0)</f>
        <v>1080.9100000000001</v>
      </c>
      <c r="Y232">
        <f>IF(Source!BI118=2,I232, 0)</f>
        <v>0</v>
      </c>
      <c r="Z232">
        <f>IF(Source!BI118=3,I232, 0)</f>
        <v>0</v>
      </c>
      <c r="AA232">
        <f>IF(Source!BI118=4,I232, 0)</f>
        <v>0</v>
      </c>
      <c r="AI232">
        <v>3</v>
      </c>
    </row>
    <row r="233" spans="1:35" ht="14.25" x14ac:dyDescent="0.2">
      <c r="A233" s="20"/>
      <c r="B233" s="20"/>
      <c r="C233" s="20" t="s">
        <v>1010</v>
      </c>
      <c r="D233" s="22" t="s">
        <v>1011</v>
      </c>
      <c r="E233" s="21">
        <f>Source!DN115</f>
        <v>100</v>
      </c>
      <c r="F233" s="24"/>
      <c r="G233" s="23"/>
      <c r="H233" s="21"/>
      <c r="I233" s="24">
        <f>SUM(Q224:Q232)</f>
        <v>1659.45</v>
      </c>
      <c r="J233" s="21">
        <f>Source!BZ115</f>
        <v>83</v>
      </c>
      <c r="K233" s="24">
        <f>SUM(R224:R232)</f>
        <v>41458.04</v>
      </c>
    </row>
    <row r="234" spans="1:35" ht="14.25" x14ac:dyDescent="0.2">
      <c r="A234" s="20"/>
      <c r="B234" s="20"/>
      <c r="C234" s="20" t="s">
        <v>1012</v>
      </c>
      <c r="D234" s="22" t="s">
        <v>1011</v>
      </c>
      <c r="E234" s="21">
        <f>Source!DO115</f>
        <v>64</v>
      </c>
      <c r="F234" s="24"/>
      <c r="G234" s="23"/>
      <c r="H234" s="21"/>
      <c r="I234" s="24">
        <f>SUM(S224:S233)</f>
        <v>1062.05</v>
      </c>
      <c r="J234" s="21">
        <f>Source!CA115</f>
        <v>41</v>
      </c>
      <c r="K234" s="24">
        <f>SUM(T224:T233)</f>
        <v>20479.27</v>
      </c>
    </row>
    <row r="235" spans="1:35" ht="14.25" x14ac:dyDescent="0.2">
      <c r="A235" s="20"/>
      <c r="B235" s="20"/>
      <c r="C235" s="20" t="s">
        <v>1018</v>
      </c>
      <c r="D235" s="22" t="s">
        <v>1011</v>
      </c>
      <c r="E235" s="21">
        <f>175</f>
        <v>175</v>
      </c>
      <c r="F235" s="24"/>
      <c r="G235" s="23"/>
      <c r="H235" s="21"/>
      <c r="I235" s="24">
        <f>SUM(U224:U234)</f>
        <v>205.99</v>
      </c>
      <c r="J235" s="21">
        <f>160</f>
        <v>160</v>
      </c>
      <c r="K235" s="24">
        <f>SUM(V224:V234)</f>
        <v>5668.91</v>
      </c>
    </row>
    <row r="236" spans="1:35" ht="14.25" x14ac:dyDescent="0.2">
      <c r="A236" s="26"/>
      <c r="B236" s="26"/>
      <c r="C236" s="26" t="s">
        <v>1013</v>
      </c>
      <c r="D236" s="27" t="s">
        <v>1014</v>
      </c>
      <c r="E236" s="28">
        <f>Source!AQ115</f>
        <v>74</v>
      </c>
      <c r="F236" s="29"/>
      <c r="G236" s="30" t="str">
        <f>Source!DI115</f>
        <v>)*1,15</v>
      </c>
      <c r="H236" s="28">
        <f>Source!AV115</f>
        <v>1</v>
      </c>
      <c r="I236" s="29">
        <f>Source!U115</f>
        <v>127.64999999999999</v>
      </c>
      <c r="J236" s="28"/>
      <c r="K236" s="29"/>
      <c r="AB236" s="25">
        <f>I236</f>
        <v>127.64999999999999</v>
      </c>
    </row>
    <row r="237" spans="1:35" ht="15" x14ac:dyDescent="0.25">
      <c r="C237" s="13" t="s">
        <v>1015</v>
      </c>
      <c r="H237" s="50">
        <f>I226+I227+I229+I233+I234+I235+SUM(I230:I232)</f>
        <v>7554.63</v>
      </c>
      <c r="I237" s="50"/>
      <c r="J237" s="50">
        <f>K226+K227+K229+K233+K234+K235+SUM(K230:K232)</f>
        <v>150976.9</v>
      </c>
      <c r="K237" s="50"/>
      <c r="O237" s="25">
        <f>I226+I227+I229+I233+I234+I235+SUM(I230:I232)</f>
        <v>7554.63</v>
      </c>
      <c r="P237" s="25">
        <f>K226+K227+K229+K233+K234+K235+SUM(K230:K232)</f>
        <v>150976.9</v>
      </c>
      <c r="X237">
        <f>IF(Source!BI115&lt;=1,I226+I227+I229+I233+I234+I235-0, 0)</f>
        <v>5110.34</v>
      </c>
      <c r="Y237">
        <f>IF(Source!BI115=2,I226+I227+I229+I233+I234+I235-0, 0)</f>
        <v>0</v>
      </c>
      <c r="Z237">
        <f>IF(Source!BI115=3,I226+I227+I229+I233+I234+I235-0, 0)</f>
        <v>0</v>
      </c>
      <c r="AA237">
        <f>IF(Source!BI115=4,I226+I227+I229+I233+I234+I235,0)</f>
        <v>0</v>
      </c>
    </row>
    <row r="239" spans="1:35" ht="42.75" x14ac:dyDescent="0.2">
      <c r="A239" s="20">
        <v>17</v>
      </c>
      <c r="B239" s="20" t="str">
        <f>Source!F119</f>
        <v>3.15-176-2</v>
      </c>
      <c r="C239" s="20" t="s">
        <v>293</v>
      </c>
      <c r="D239" s="22" t="str">
        <f>Source!H119</f>
        <v>100 м2</v>
      </c>
      <c r="E239" s="21">
        <f>Source!I119</f>
        <v>1.5</v>
      </c>
      <c r="F239" s="24"/>
      <c r="G239" s="23"/>
      <c r="H239" s="21"/>
      <c r="I239" s="24"/>
      <c r="J239" s="21"/>
      <c r="K239" s="24"/>
      <c r="Q239">
        <f>ROUND((Source!DN119/100)*ROUND((ROUND((Source!AF119*Source!AV119*Source!I119),2)),2), 2)</f>
        <v>861.86</v>
      </c>
      <c r="R239">
        <f>Source!X119</f>
        <v>21531.85</v>
      </c>
      <c r="S239">
        <f>ROUND((Source!DO119/100)*ROUND((ROUND((Source!AF119*Source!AV119*Source!I119),2)),2), 2)</f>
        <v>551.59</v>
      </c>
      <c r="T239">
        <f>Source!Y119</f>
        <v>10636.22</v>
      </c>
      <c r="U239">
        <f>ROUND((175/100)*ROUND((ROUND((Source!AE119*Source!AV119*Source!I119),2)),2), 2)</f>
        <v>6.2</v>
      </c>
      <c r="V239">
        <f>ROUND((160/100)*ROUND(ROUND((ROUND((Source!AE119*Source!AV119*Source!I119),2)*Source!BS119),2), 2), 2)</f>
        <v>170.48</v>
      </c>
      <c r="AI239">
        <v>0</v>
      </c>
    </row>
    <row r="240" spans="1:35" x14ac:dyDescent="0.2">
      <c r="C240" s="31" t="str">
        <f>"Объем: "&amp;Source!I119&amp;"=150/"&amp;"100"</f>
        <v>Объем: 1,5=150/100</v>
      </c>
    </row>
    <row r="241" spans="1:35" ht="14.25" x14ac:dyDescent="0.2">
      <c r="A241" s="20"/>
      <c r="B241" s="20"/>
      <c r="C241" s="20" t="s">
        <v>1009</v>
      </c>
      <c r="D241" s="22"/>
      <c r="E241" s="21"/>
      <c r="F241" s="24">
        <f>Source!AO119</f>
        <v>499.63</v>
      </c>
      <c r="G241" s="23" t="str">
        <f>Source!DG119</f>
        <v>)*1,15</v>
      </c>
      <c r="H241" s="21">
        <f>Source!AV119</f>
        <v>1</v>
      </c>
      <c r="I241" s="24">
        <f>ROUND((ROUND((Source!AF119*Source!AV119*Source!I119),2)),2)</f>
        <v>861.86</v>
      </c>
      <c r="J241" s="21">
        <f>IF(Source!BA119&lt;&gt; 0, Source!BA119, 1)</f>
        <v>30.1</v>
      </c>
      <c r="K241" s="24">
        <f>Source!S119</f>
        <v>25941.99</v>
      </c>
      <c r="W241">
        <f>I241</f>
        <v>861.86</v>
      </c>
    </row>
    <row r="242" spans="1:35" ht="14.25" x14ac:dyDescent="0.2">
      <c r="A242" s="20"/>
      <c r="B242" s="20"/>
      <c r="C242" s="20" t="s">
        <v>1016</v>
      </c>
      <c r="D242" s="22"/>
      <c r="E242" s="21"/>
      <c r="F242" s="24">
        <f>Source!AM119</f>
        <v>12.47</v>
      </c>
      <c r="G242" s="23" t="str">
        <f>Source!DE119</f>
        <v>)*1,25</v>
      </c>
      <c r="H242" s="21">
        <f>Source!AV119</f>
        <v>1</v>
      </c>
      <c r="I242" s="24">
        <f>(ROUND((ROUND((((Source!ET119*1.25))*Source!AV119*Source!I119),2)),2)+ROUND((ROUND(((Source!AE119-((Source!EU119*1.25)))*Source!AV119*Source!I119),2)),2))</f>
        <v>23.38</v>
      </c>
      <c r="J242" s="21">
        <f>IF(Source!BB119&lt;&gt; 0, Source!BB119, 1)</f>
        <v>12.09</v>
      </c>
      <c r="K242" s="24">
        <f>Source!Q119</f>
        <v>282.66000000000003</v>
      </c>
    </row>
    <row r="243" spans="1:35" ht="14.25" x14ac:dyDescent="0.2">
      <c r="A243" s="20"/>
      <c r="B243" s="20"/>
      <c r="C243" s="20" t="s">
        <v>1017</v>
      </c>
      <c r="D243" s="22"/>
      <c r="E243" s="21"/>
      <c r="F243" s="24">
        <f>Source!AN119</f>
        <v>1.89</v>
      </c>
      <c r="G243" s="23" t="str">
        <f>Source!DF119</f>
        <v>)*1,25</v>
      </c>
      <c r="H243" s="21">
        <f>Source!AV119</f>
        <v>1</v>
      </c>
      <c r="I243" s="32">
        <f>ROUND((ROUND((Source!AE119*Source!AV119*Source!I119),2)),2)</f>
        <v>3.54</v>
      </c>
      <c r="J243" s="21">
        <f>IF(Source!BS119&lt;&gt; 0, Source!BS119, 1)</f>
        <v>30.1</v>
      </c>
      <c r="K243" s="32">
        <f>Source!R119</f>
        <v>106.55</v>
      </c>
      <c r="W243">
        <f>I243</f>
        <v>3.54</v>
      </c>
    </row>
    <row r="244" spans="1:35" ht="14.25" x14ac:dyDescent="0.2">
      <c r="A244" s="20"/>
      <c r="B244" s="20"/>
      <c r="C244" s="20" t="s">
        <v>1019</v>
      </c>
      <c r="D244" s="22"/>
      <c r="E244" s="21"/>
      <c r="F244" s="24">
        <f>Source!AL119</f>
        <v>799.49</v>
      </c>
      <c r="G244" s="23" t="str">
        <f>Source!DD119</f>
        <v/>
      </c>
      <c r="H244" s="21">
        <f>Source!AW119</f>
        <v>1</v>
      </c>
      <c r="I244" s="24">
        <f>ROUND((ROUND((Source!AC119*Source!AW119*Source!I119),2)),2)</f>
        <v>1199.24</v>
      </c>
      <c r="J244" s="21">
        <f>IF(Source!BC119&lt;&gt; 0, Source!BC119, 1)</f>
        <v>3</v>
      </c>
      <c r="K244" s="24">
        <f>Source!P119</f>
        <v>3597.72</v>
      </c>
    </row>
    <row r="245" spans="1:35" ht="57" x14ac:dyDescent="0.2">
      <c r="A245" s="20" t="s">
        <v>295</v>
      </c>
      <c r="B245" s="20" t="str">
        <f>Source!F120</f>
        <v>1.1-1-2854</v>
      </c>
      <c r="C245" s="20" t="s">
        <v>57</v>
      </c>
      <c r="D245" s="22" t="str">
        <f>Source!H120</f>
        <v>кг</v>
      </c>
      <c r="E245" s="21">
        <f>Source!I120</f>
        <v>30</v>
      </c>
      <c r="F245" s="24">
        <f>Source!AK120</f>
        <v>28.98</v>
      </c>
      <c r="G245" s="33" t="s">
        <v>3</v>
      </c>
      <c r="H245" s="21">
        <f>Source!AW120</f>
        <v>1</v>
      </c>
      <c r="I245" s="24">
        <f>ROUND((ROUND((Source!AC120*Source!AW120*Source!I120),2)),2)+(ROUND((ROUND(((Source!ET120)*Source!AV120*Source!I120),2)),2)+ROUND((ROUND(((Source!AE120-(Source!EU120))*Source!AV120*Source!I120),2)),2))+ROUND((ROUND((Source!AF120*Source!AV120*Source!I120),2)),2)</f>
        <v>869.4</v>
      </c>
      <c r="J245" s="21">
        <f>IF(Source!BC120&lt;&gt; 0, Source!BC120, 1)</f>
        <v>3.58</v>
      </c>
      <c r="K245" s="24">
        <f>Source!O120</f>
        <v>3112.45</v>
      </c>
      <c r="Q245">
        <f>ROUND((Source!DN120/100)*ROUND((ROUND((Source!AF120*Source!AV120*Source!I120),2)),2), 2)</f>
        <v>0</v>
      </c>
      <c r="R245">
        <f>Source!X120</f>
        <v>0</v>
      </c>
      <c r="S245">
        <f>ROUND((Source!DO120/100)*ROUND((ROUND((Source!AF120*Source!AV120*Source!I120),2)),2), 2)</f>
        <v>0</v>
      </c>
      <c r="T245">
        <f>Source!Y120</f>
        <v>0</v>
      </c>
      <c r="U245">
        <f>ROUND((175/100)*ROUND((ROUND((Source!AE120*Source!AV120*Source!I120),2)),2), 2)</f>
        <v>0</v>
      </c>
      <c r="V245">
        <f>ROUND((160/100)*ROUND(ROUND((ROUND((Source!AE120*Source!AV120*Source!I120),2)*Source!BS120),2), 2), 2)</f>
        <v>0</v>
      </c>
      <c r="X245">
        <f>IF(Source!BI120&lt;=1,I245, 0)</f>
        <v>869.4</v>
      </c>
      <c r="Y245">
        <f>IF(Source!BI120=2,I245, 0)</f>
        <v>0</v>
      </c>
      <c r="Z245">
        <f>IF(Source!BI120=3,I245, 0)</f>
        <v>0</v>
      </c>
      <c r="AA245">
        <f>IF(Source!BI120=4,I245, 0)</f>
        <v>0</v>
      </c>
      <c r="AI245">
        <v>3</v>
      </c>
    </row>
    <row r="246" spans="1:35" ht="213.75" x14ac:dyDescent="0.2">
      <c r="A246" s="20" t="s">
        <v>296</v>
      </c>
      <c r="B246" s="20" t="str">
        <f>Source!F121</f>
        <v>1.1-1-3932</v>
      </c>
      <c r="C246" s="20" t="s">
        <v>976</v>
      </c>
      <c r="D246" s="22" t="str">
        <f>Source!H121</f>
        <v>кг</v>
      </c>
      <c r="E246" s="21">
        <f>Source!I121</f>
        <v>45</v>
      </c>
      <c r="F246" s="24">
        <f>Source!AK121</f>
        <v>108.25</v>
      </c>
      <c r="G246" s="33" t="s">
        <v>3</v>
      </c>
      <c r="H246" s="21">
        <f>Source!AW121</f>
        <v>1</v>
      </c>
      <c r="I246" s="24">
        <f>ROUND((ROUND((Source!AC121*Source!AW121*Source!I121),2)),2)+(ROUND((ROUND(((Source!ET121)*Source!AV121*Source!I121),2)),2)+ROUND((ROUND(((Source!AE121-(Source!EU121))*Source!AV121*Source!I121),2)),2))+ROUND((ROUND((Source!AF121*Source!AV121*Source!I121),2)),2)</f>
        <v>4871.25</v>
      </c>
      <c r="J246" s="21">
        <f>IF(Source!BC121&lt;&gt; 0, Source!BC121, 1)</f>
        <v>4.74</v>
      </c>
      <c r="K246" s="24">
        <f>Source!O121</f>
        <v>23089.73</v>
      </c>
      <c r="Q246">
        <f>ROUND((Source!DN121/100)*ROUND((ROUND((Source!AF121*Source!AV121*Source!I121),2)),2), 2)</f>
        <v>0</v>
      </c>
      <c r="R246">
        <f>Source!X121</f>
        <v>0</v>
      </c>
      <c r="S246">
        <f>ROUND((Source!DO121/100)*ROUND((ROUND((Source!AF121*Source!AV121*Source!I121),2)),2), 2)</f>
        <v>0</v>
      </c>
      <c r="T246">
        <f>Source!Y121</f>
        <v>0</v>
      </c>
      <c r="U246">
        <f>ROUND((175/100)*ROUND((ROUND((Source!AE121*Source!AV121*Source!I121),2)),2), 2)</f>
        <v>0</v>
      </c>
      <c r="V246">
        <f>ROUND((160/100)*ROUND(ROUND((ROUND((Source!AE121*Source!AV121*Source!I121),2)*Source!BS121),2), 2), 2)</f>
        <v>0</v>
      </c>
      <c r="X246">
        <f>IF(Source!BI121&lt;=1,I246, 0)</f>
        <v>4871.25</v>
      </c>
      <c r="Y246">
        <f>IF(Source!BI121=2,I246, 0)</f>
        <v>0</v>
      </c>
      <c r="Z246">
        <f>IF(Source!BI121=3,I246, 0)</f>
        <v>0</v>
      </c>
      <c r="AA246">
        <f>IF(Source!BI121=4,I246, 0)</f>
        <v>0</v>
      </c>
      <c r="AI246">
        <v>3</v>
      </c>
    </row>
    <row r="247" spans="1:35" ht="14.25" x14ac:dyDescent="0.2">
      <c r="A247" s="20"/>
      <c r="B247" s="20"/>
      <c r="C247" s="20" t="s">
        <v>1010</v>
      </c>
      <c r="D247" s="22" t="s">
        <v>1011</v>
      </c>
      <c r="E247" s="21">
        <f>Source!DN119</f>
        <v>100</v>
      </c>
      <c r="F247" s="24"/>
      <c r="G247" s="23"/>
      <c r="H247" s="21"/>
      <c r="I247" s="24">
        <f>SUM(Q239:Q246)</f>
        <v>861.86</v>
      </c>
      <c r="J247" s="21">
        <f>Source!BZ119</f>
        <v>83</v>
      </c>
      <c r="K247" s="24">
        <f>SUM(R239:R246)</f>
        <v>21531.85</v>
      </c>
    </row>
    <row r="248" spans="1:35" ht="14.25" x14ac:dyDescent="0.2">
      <c r="A248" s="20"/>
      <c r="B248" s="20"/>
      <c r="C248" s="20" t="s">
        <v>1012</v>
      </c>
      <c r="D248" s="22" t="s">
        <v>1011</v>
      </c>
      <c r="E248" s="21">
        <f>Source!DO119</f>
        <v>64</v>
      </c>
      <c r="F248" s="24"/>
      <c r="G248" s="23"/>
      <c r="H248" s="21"/>
      <c r="I248" s="24">
        <f>SUM(S239:S247)</f>
        <v>551.59</v>
      </c>
      <c r="J248" s="21">
        <f>Source!CA119</f>
        <v>41</v>
      </c>
      <c r="K248" s="24">
        <f>SUM(T239:T247)</f>
        <v>10636.22</v>
      </c>
    </row>
    <row r="249" spans="1:35" ht="14.25" x14ac:dyDescent="0.2">
      <c r="A249" s="20"/>
      <c r="B249" s="20"/>
      <c r="C249" s="20" t="s">
        <v>1018</v>
      </c>
      <c r="D249" s="22" t="s">
        <v>1011</v>
      </c>
      <c r="E249" s="21">
        <f>175</f>
        <v>175</v>
      </c>
      <c r="F249" s="24"/>
      <c r="G249" s="23"/>
      <c r="H249" s="21"/>
      <c r="I249" s="24">
        <f>SUM(U239:U248)</f>
        <v>6.2</v>
      </c>
      <c r="J249" s="21">
        <f>160</f>
        <v>160</v>
      </c>
      <c r="K249" s="24">
        <f>SUM(V239:V248)</f>
        <v>170.48</v>
      </c>
    </row>
    <row r="250" spans="1:35" ht="14.25" x14ac:dyDescent="0.2">
      <c r="A250" s="26"/>
      <c r="B250" s="26"/>
      <c r="C250" s="26" t="s">
        <v>1013</v>
      </c>
      <c r="D250" s="27" t="s">
        <v>1014</v>
      </c>
      <c r="E250" s="28">
        <f>Source!AQ119</f>
        <v>43.56</v>
      </c>
      <c r="F250" s="29"/>
      <c r="G250" s="30" t="str">
        <f>Source!DI119</f>
        <v>)*1,15</v>
      </c>
      <c r="H250" s="28">
        <f>Source!AV119</f>
        <v>1</v>
      </c>
      <c r="I250" s="29">
        <f>Source!U119</f>
        <v>75.141000000000005</v>
      </c>
      <c r="J250" s="28"/>
      <c r="K250" s="29"/>
      <c r="AB250" s="25">
        <f>I250</f>
        <v>75.141000000000005</v>
      </c>
    </row>
    <row r="251" spans="1:35" ht="15" x14ac:dyDescent="0.25">
      <c r="C251" s="13" t="s">
        <v>1015</v>
      </c>
      <c r="H251" s="50">
        <f>I241+I242+I244+I247+I248+I249+SUM(I245:I246)</f>
        <v>9244.7799999999988</v>
      </c>
      <c r="I251" s="50"/>
      <c r="J251" s="50">
        <f>K241+K242+K244+K247+K248+K249+SUM(K245:K246)</f>
        <v>88363.1</v>
      </c>
      <c r="K251" s="50"/>
      <c r="O251" s="25">
        <f>I241+I242+I244+I247+I248+I249+SUM(I245:I246)</f>
        <v>9244.7799999999988</v>
      </c>
      <c r="P251" s="25">
        <f>K241+K242+K244+K247+K248+K249+SUM(K245:K246)</f>
        <v>88363.1</v>
      </c>
      <c r="X251">
        <f>IF(Source!BI119&lt;=1,I241+I242+I244+I247+I248+I249-0, 0)</f>
        <v>3504.13</v>
      </c>
      <c r="Y251">
        <f>IF(Source!BI119=2,I241+I242+I244+I247+I248+I249-0, 0)</f>
        <v>0</v>
      </c>
      <c r="Z251">
        <f>IF(Source!BI119=3,I241+I242+I244+I247+I248+I249-0, 0)</f>
        <v>0</v>
      </c>
      <c r="AA251">
        <f>IF(Source!BI119=4,I241+I242+I244+I247+I248+I249,0)</f>
        <v>0</v>
      </c>
    </row>
    <row r="253" spans="1:35" ht="71.25" x14ac:dyDescent="0.2">
      <c r="A253" s="20">
        <v>18</v>
      </c>
      <c r="B253" s="20" t="str">
        <f>Source!F122</f>
        <v>3.15-140-1</v>
      </c>
      <c r="C253" s="20" t="s">
        <v>299</v>
      </c>
      <c r="D253" s="22" t="str">
        <f>Source!H122</f>
        <v>100 м2 оклеиваемой поверхности</v>
      </c>
      <c r="E253" s="21">
        <f>Source!I122</f>
        <v>0.55000000000000004</v>
      </c>
      <c r="F253" s="24"/>
      <c r="G253" s="23"/>
      <c r="H253" s="21"/>
      <c r="I253" s="24"/>
      <c r="J253" s="21"/>
      <c r="K253" s="24"/>
      <c r="Q253">
        <f>ROUND((Source!DN122/100)*ROUND((ROUND((Source!AF122*Source!AV122*Source!I122),2)),2), 2)</f>
        <v>1202.74</v>
      </c>
      <c r="R253">
        <f>Source!X122</f>
        <v>30048.05</v>
      </c>
      <c r="S253">
        <f>ROUND((Source!DO122/100)*ROUND((ROUND((Source!AF122*Source!AV122*Source!I122),2)),2), 2)</f>
        <v>769.75</v>
      </c>
      <c r="T253">
        <f>Source!Y122</f>
        <v>14843.01</v>
      </c>
      <c r="U253">
        <f>ROUND((175/100)*ROUND((ROUND((Source!AE122*Source!AV122*Source!I122),2)),2), 2)</f>
        <v>2.14</v>
      </c>
      <c r="V253">
        <f>ROUND((160/100)*ROUND(ROUND((ROUND((Source!AE122*Source!AV122*Source!I122),2)*Source!BS122),2), 2), 2)</f>
        <v>58.75</v>
      </c>
      <c r="AI253">
        <v>0</v>
      </c>
    </row>
    <row r="254" spans="1:35" x14ac:dyDescent="0.2">
      <c r="C254" s="31" t="str">
        <f>"Объем: "&amp;Source!I122&amp;"=55/"&amp;"100"</f>
        <v>Объем: 0,55=55/100</v>
      </c>
    </row>
    <row r="255" spans="1:35" ht="14.25" x14ac:dyDescent="0.2">
      <c r="A255" s="20"/>
      <c r="B255" s="20"/>
      <c r="C255" s="20" t="s">
        <v>1009</v>
      </c>
      <c r="D255" s="22"/>
      <c r="E255" s="21"/>
      <c r="F255" s="24">
        <f>Source!AO122</f>
        <v>1901.57</v>
      </c>
      <c r="G255" s="23" t="str">
        <f>Source!DG122</f>
        <v>)*1,15</v>
      </c>
      <c r="H255" s="21">
        <f>Source!AV122</f>
        <v>1</v>
      </c>
      <c r="I255" s="24">
        <f>ROUND((ROUND((Source!AF122*Source!AV122*Source!I122),2)),2)</f>
        <v>1202.74</v>
      </c>
      <c r="J255" s="21">
        <f>IF(Source!BA122&lt;&gt; 0, Source!BA122, 1)</f>
        <v>30.1</v>
      </c>
      <c r="K255" s="24">
        <f>Source!S122</f>
        <v>36202.47</v>
      </c>
      <c r="W255">
        <f>I255</f>
        <v>1202.74</v>
      </c>
    </row>
    <row r="256" spans="1:35" ht="14.25" x14ac:dyDescent="0.2">
      <c r="A256" s="20"/>
      <c r="B256" s="20"/>
      <c r="C256" s="20" t="s">
        <v>1016</v>
      </c>
      <c r="D256" s="22"/>
      <c r="E256" s="21"/>
      <c r="F256" s="24">
        <f>Source!AM122</f>
        <v>11.63</v>
      </c>
      <c r="G256" s="23" t="str">
        <f>Source!DE122</f>
        <v>)*1,25</v>
      </c>
      <c r="H256" s="21">
        <f>Source!AV122</f>
        <v>1</v>
      </c>
      <c r="I256" s="24">
        <f>(ROUND((ROUND((((Source!ET122*1.25))*Source!AV122*Source!I122),2)),2)+ROUND((ROUND(((Source!AE122-((Source!EU122*1.25)))*Source!AV122*Source!I122),2)),2))</f>
        <v>8</v>
      </c>
      <c r="J256" s="21">
        <f>IF(Source!BB122&lt;&gt; 0, Source!BB122, 1)</f>
        <v>12.09</v>
      </c>
      <c r="K256" s="24">
        <f>Source!Q122</f>
        <v>96.72</v>
      </c>
    </row>
    <row r="257" spans="1:35" ht="14.25" x14ac:dyDescent="0.2">
      <c r="A257" s="20"/>
      <c r="B257" s="20"/>
      <c r="C257" s="20" t="s">
        <v>1017</v>
      </c>
      <c r="D257" s="22"/>
      <c r="E257" s="21"/>
      <c r="F257" s="24">
        <f>Source!AN122</f>
        <v>1.77</v>
      </c>
      <c r="G257" s="23" t="str">
        <f>Source!DF122</f>
        <v>)*1,25</v>
      </c>
      <c r="H257" s="21">
        <f>Source!AV122</f>
        <v>1</v>
      </c>
      <c r="I257" s="32">
        <f>ROUND((ROUND((Source!AE122*Source!AV122*Source!I122),2)),2)</f>
        <v>1.22</v>
      </c>
      <c r="J257" s="21">
        <f>IF(Source!BS122&lt;&gt; 0, Source!BS122, 1)</f>
        <v>30.1</v>
      </c>
      <c r="K257" s="32">
        <f>Source!R122</f>
        <v>36.72</v>
      </c>
      <c r="W257">
        <f>I257</f>
        <v>1.22</v>
      </c>
    </row>
    <row r="258" spans="1:35" ht="14.25" x14ac:dyDescent="0.2">
      <c r="A258" s="20"/>
      <c r="B258" s="20"/>
      <c r="C258" s="20" t="s">
        <v>1019</v>
      </c>
      <c r="D258" s="22"/>
      <c r="E258" s="21"/>
      <c r="F258" s="24">
        <f>Source!AL122</f>
        <v>1072.05</v>
      </c>
      <c r="G258" s="23" t="str">
        <f>Source!DD122</f>
        <v/>
      </c>
      <c r="H258" s="21">
        <f>Source!AW122</f>
        <v>1</v>
      </c>
      <c r="I258" s="24">
        <f>ROUND((ROUND((Source!AC122*Source!AW122*Source!I122),2)),2)</f>
        <v>589.63</v>
      </c>
      <c r="J258" s="21">
        <f>IF(Source!BC122&lt;&gt; 0, Source!BC122, 1)</f>
        <v>3.96</v>
      </c>
      <c r="K258" s="24">
        <f>Source!P122</f>
        <v>2334.9299999999998</v>
      </c>
    </row>
    <row r="259" spans="1:35" ht="171" x14ac:dyDescent="0.2">
      <c r="A259" s="20" t="s">
        <v>304</v>
      </c>
      <c r="B259" s="20" t="str">
        <f>Source!F123</f>
        <v>1.1-1-2180</v>
      </c>
      <c r="C259" s="20" t="s">
        <v>978</v>
      </c>
      <c r="D259" s="22" t="str">
        <f>Source!H123</f>
        <v>т</v>
      </c>
      <c r="E259" s="21">
        <f>Source!I123</f>
        <v>8.8000000000000005E-3</v>
      </c>
      <c r="F259" s="24">
        <f>Source!AK123</f>
        <v>33030.400000000001</v>
      </c>
      <c r="G259" s="33" t="s">
        <v>3</v>
      </c>
      <c r="H259" s="21">
        <f>Source!AW123</f>
        <v>1</v>
      </c>
      <c r="I259" s="24">
        <f>ROUND((ROUND((Source!AC123*Source!AW123*Source!I123),2)),2)+(ROUND((ROUND(((Source!ET123)*Source!AV123*Source!I123),2)),2)+ROUND((ROUND(((Source!AE123-(Source!EU123))*Source!AV123*Source!I123),2)),2))+ROUND((ROUND((Source!AF123*Source!AV123*Source!I123),2)),2)</f>
        <v>290.67</v>
      </c>
      <c r="J259" s="21">
        <f>IF(Source!BC123&lt;&gt; 0, Source!BC123, 1)</f>
        <v>3.81</v>
      </c>
      <c r="K259" s="24">
        <f>Source!O123</f>
        <v>1107.45</v>
      </c>
      <c r="Q259">
        <f>ROUND((Source!DN123/100)*ROUND((ROUND((Source!AF123*Source!AV123*Source!I123),2)),2), 2)</f>
        <v>0</v>
      </c>
      <c r="R259">
        <f>Source!X123</f>
        <v>0</v>
      </c>
      <c r="S259">
        <f>ROUND((Source!DO123/100)*ROUND((ROUND((Source!AF123*Source!AV123*Source!I123),2)),2), 2)</f>
        <v>0</v>
      </c>
      <c r="T259">
        <f>Source!Y123</f>
        <v>0</v>
      </c>
      <c r="U259">
        <f>ROUND((175/100)*ROUND((ROUND((Source!AE123*Source!AV123*Source!I123),2)),2), 2)</f>
        <v>0</v>
      </c>
      <c r="V259">
        <f>ROUND((160/100)*ROUND(ROUND((ROUND((Source!AE123*Source!AV123*Source!I123),2)*Source!BS123),2), 2), 2)</f>
        <v>0</v>
      </c>
      <c r="X259">
        <f>IF(Source!BI123&lt;=1,I259, 0)</f>
        <v>290.67</v>
      </c>
      <c r="Y259">
        <f>IF(Source!BI123=2,I259, 0)</f>
        <v>0</v>
      </c>
      <c r="Z259">
        <f>IF(Source!BI123=3,I259, 0)</f>
        <v>0</v>
      </c>
      <c r="AA259">
        <f>IF(Source!BI123=4,I259, 0)</f>
        <v>0</v>
      </c>
      <c r="AI259">
        <v>3</v>
      </c>
    </row>
    <row r="260" spans="1:35" ht="128.25" x14ac:dyDescent="0.2">
      <c r="A260" s="20" t="s">
        <v>307</v>
      </c>
      <c r="B260" s="20" t="str">
        <f>Source!F124</f>
        <v>1.3-2-44</v>
      </c>
      <c r="C260" s="20" t="s">
        <v>979</v>
      </c>
      <c r="D260" s="22" t="str">
        <f>Source!H124</f>
        <v>кг</v>
      </c>
      <c r="E260" s="21">
        <f>Source!I124</f>
        <v>66</v>
      </c>
      <c r="F260" s="24">
        <f>Source!AK124</f>
        <v>9.1</v>
      </c>
      <c r="G260" s="33" t="s">
        <v>3</v>
      </c>
      <c r="H260" s="21">
        <f>Source!AW124</f>
        <v>1</v>
      </c>
      <c r="I260" s="24">
        <f>ROUND((ROUND((Source!AC124*Source!AW124*Source!I124),2)),2)+(ROUND((ROUND(((Source!ET124)*Source!AV124*Source!I124),2)),2)+ROUND((ROUND(((Source!AE124-(Source!EU124))*Source!AV124*Source!I124),2)),2))+ROUND((ROUND((Source!AF124*Source!AV124*Source!I124),2)),2)</f>
        <v>600.6</v>
      </c>
      <c r="J260" s="21">
        <f>IF(Source!BC124&lt;&gt; 0, Source!BC124, 1)</f>
        <v>3.11</v>
      </c>
      <c r="K260" s="24">
        <f>Source!O124</f>
        <v>1867.87</v>
      </c>
      <c r="Q260">
        <f>ROUND((Source!DN124/100)*ROUND((ROUND((Source!AF124*Source!AV124*Source!I124),2)),2), 2)</f>
        <v>0</v>
      </c>
      <c r="R260">
        <f>Source!X124</f>
        <v>0</v>
      </c>
      <c r="S260">
        <f>ROUND((Source!DO124/100)*ROUND((ROUND((Source!AF124*Source!AV124*Source!I124),2)),2), 2)</f>
        <v>0</v>
      </c>
      <c r="T260">
        <f>Source!Y124</f>
        <v>0</v>
      </c>
      <c r="U260">
        <f>ROUND((175/100)*ROUND((ROUND((Source!AE124*Source!AV124*Source!I124),2)),2), 2)</f>
        <v>0</v>
      </c>
      <c r="V260">
        <f>ROUND((160/100)*ROUND(ROUND((ROUND((Source!AE124*Source!AV124*Source!I124),2)*Source!BS124),2), 2), 2)</f>
        <v>0</v>
      </c>
      <c r="X260">
        <f>IF(Source!BI124&lt;=1,I260, 0)</f>
        <v>600.6</v>
      </c>
      <c r="Y260">
        <f>IF(Source!BI124=2,I260, 0)</f>
        <v>0</v>
      </c>
      <c r="Z260">
        <f>IF(Source!BI124=3,I260, 0)</f>
        <v>0</v>
      </c>
      <c r="AA260">
        <f>IF(Source!BI124=4,I260, 0)</f>
        <v>0</v>
      </c>
      <c r="AI260">
        <v>3</v>
      </c>
    </row>
    <row r="261" spans="1:35" ht="28.5" x14ac:dyDescent="0.2">
      <c r="A261" s="20" t="s">
        <v>310</v>
      </c>
      <c r="B261" s="20" t="str">
        <f>Source!F125</f>
        <v>1.1-1-4105</v>
      </c>
      <c r="C261" s="20" t="s">
        <v>312</v>
      </c>
      <c r="D261" s="22" t="str">
        <f>Source!H125</f>
        <v>100 м2</v>
      </c>
      <c r="E261" s="21">
        <f>Source!I125</f>
        <v>0.61599999999999999</v>
      </c>
      <c r="F261" s="24">
        <f>Source!AK125</f>
        <v>945.51</v>
      </c>
      <c r="G261" s="33" t="s">
        <v>3</v>
      </c>
      <c r="H261" s="21">
        <f>Source!AW125</f>
        <v>1</v>
      </c>
      <c r="I261" s="24">
        <f>ROUND((ROUND((Source!AC125*Source!AW125*Source!I125),2)),2)+(ROUND((ROUND(((Source!ET125)*Source!AV125*Source!I125),2)),2)+ROUND((ROUND(((Source!AE125-(Source!EU125))*Source!AV125*Source!I125),2)),2))+ROUND((ROUND((Source!AF125*Source!AV125*Source!I125),2)),2)</f>
        <v>582.42999999999995</v>
      </c>
      <c r="J261" s="21">
        <f>IF(Source!BC125&lt;&gt; 0, Source!BC125, 1)</f>
        <v>6.15</v>
      </c>
      <c r="K261" s="24">
        <f>Source!O125</f>
        <v>3581.94</v>
      </c>
      <c r="Q261">
        <f>ROUND((Source!DN125/100)*ROUND((ROUND((Source!AF125*Source!AV125*Source!I125),2)),2), 2)</f>
        <v>0</v>
      </c>
      <c r="R261">
        <f>Source!X125</f>
        <v>0</v>
      </c>
      <c r="S261">
        <f>ROUND((Source!DO125/100)*ROUND((ROUND((Source!AF125*Source!AV125*Source!I125),2)),2), 2)</f>
        <v>0</v>
      </c>
      <c r="T261">
        <f>Source!Y125</f>
        <v>0</v>
      </c>
      <c r="U261">
        <f>ROUND((175/100)*ROUND((ROUND((Source!AE125*Source!AV125*Source!I125),2)),2), 2)</f>
        <v>0</v>
      </c>
      <c r="V261">
        <f>ROUND((160/100)*ROUND(ROUND((ROUND((Source!AE125*Source!AV125*Source!I125),2)*Source!BS125),2), 2), 2)</f>
        <v>0</v>
      </c>
      <c r="X261">
        <f>IF(Source!BI125&lt;=1,I261, 0)</f>
        <v>582.42999999999995</v>
      </c>
      <c r="Y261">
        <f>IF(Source!BI125=2,I261, 0)</f>
        <v>0</v>
      </c>
      <c r="Z261">
        <f>IF(Source!BI125=3,I261, 0)</f>
        <v>0</v>
      </c>
      <c r="AA261">
        <f>IF(Source!BI125=4,I261, 0)</f>
        <v>0</v>
      </c>
      <c r="AI261">
        <v>3</v>
      </c>
    </row>
    <row r="262" spans="1:35" ht="14.25" x14ac:dyDescent="0.2">
      <c r="A262" s="20"/>
      <c r="B262" s="20"/>
      <c r="C262" s="20" t="s">
        <v>1010</v>
      </c>
      <c r="D262" s="22" t="s">
        <v>1011</v>
      </c>
      <c r="E262" s="21">
        <f>Source!DN122</f>
        <v>100</v>
      </c>
      <c r="F262" s="24"/>
      <c r="G262" s="23"/>
      <c r="H262" s="21"/>
      <c r="I262" s="24">
        <f>SUM(Q253:Q261)</f>
        <v>1202.74</v>
      </c>
      <c r="J262" s="21">
        <f>Source!BZ122</f>
        <v>83</v>
      </c>
      <c r="K262" s="24">
        <f>SUM(R253:R261)</f>
        <v>30048.05</v>
      </c>
    </row>
    <row r="263" spans="1:35" ht="14.25" x14ac:dyDescent="0.2">
      <c r="A263" s="20"/>
      <c r="B263" s="20"/>
      <c r="C263" s="20" t="s">
        <v>1012</v>
      </c>
      <c r="D263" s="22" t="s">
        <v>1011</v>
      </c>
      <c r="E263" s="21">
        <f>Source!DO122</f>
        <v>64</v>
      </c>
      <c r="F263" s="24"/>
      <c r="G263" s="23"/>
      <c r="H263" s="21"/>
      <c r="I263" s="24">
        <f>SUM(S253:S262)</f>
        <v>769.75</v>
      </c>
      <c r="J263" s="21">
        <f>Source!CA122</f>
        <v>41</v>
      </c>
      <c r="K263" s="24">
        <f>SUM(T253:T262)</f>
        <v>14843.01</v>
      </c>
    </row>
    <row r="264" spans="1:35" ht="14.25" x14ac:dyDescent="0.2">
      <c r="A264" s="20"/>
      <c r="B264" s="20"/>
      <c r="C264" s="20" t="s">
        <v>1018</v>
      </c>
      <c r="D264" s="22" t="s">
        <v>1011</v>
      </c>
      <c r="E264" s="21">
        <f>175</f>
        <v>175</v>
      </c>
      <c r="F264" s="24"/>
      <c r="G264" s="23"/>
      <c r="H264" s="21"/>
      <c r="I264" s="24">
        <f>SUM(U253:U263)</f>
        <v>2.14</v>
      </c>
      <c r="J264" s="21">
        <f>160</f>
        <v>160</v>
      </c>
      <c r="K264" s="24">
        <f>SUM(V253:V263)</f>
        <v>58.75</v>
      </c>
    </row>
    <row r="265" spans="1:35" ht="14.25" x14ac:dyDescent="0.2">
      <c r="A265" s="26"/>
      <c r="B265" s="26"/>
      <c r="C265" s="26" t="s">
        <v>1013</v>
      </c>
      <c r="D265" s="27" t="s">
        <v>1014</v>
      </c>
      <c r="E265" s="28">
        <f>Source!AQ122</f>
        <v>157</v>
      </c>
      <c r="F265" s="29"/>
      <c r="G265" s="30" t="str">
        <f>Source!DI122</f>
        <v>)*1,15</v>
      </c>
      <c r="H265" s="28">
        <f>Source!AV122</f>
        <v>1</v>
      </c>
      <c r="I265" s="29">
        <f>Source!U122</f>
        <v>99.302499999999995</v>
      </c>
      <c r="J265" s="28"/>
      <c r="K265" s="29"/>
      <c r="AB265" s="25">
        <f>I265</f>
        <v>99.302499999999995</v>
      </c>
    </row>
    <row r="266" spans="1:35" ht="15" x14ac:dyDescent="0.25">
      <c r="C266" s="13" t="s">
        <v>1015</v>
      </c>
      <c r="H266" s="50">
        <f>I255+I256+I258+I262+I263+I264+SUM(I259:I261)</f>
        <v>5248.6999999999989</v>
      </c>
      <c r="I266" s="50"/>
      <c r="J266" s="50">
        <f>K255+K256+K258+K262+K263+K264+SUM(K259:K261)</f>
        <v>90141.189999999988</v>
      </c>
      <c r="K266" s="50"/>
      <c r="O266" s="25">
        <f>I255+I256+I258+I262+I263+I264+SUM(I259:I261)</f>
        <v>5248.6999999999989</v>
      </c>
      <c r="P266" s="25">
        <f>K255+K256+K258+K262+K263+K264+SUM(K259:K261)</f>
        <v>90141.189999999988</v>
      </c>
      <c r="X266">
        <f>IF(Source!BI122&lt;=1,I255+I256+I258+I262+I263+I264-0, 0)</f>
        <v>3774.9999999999995</v>
      </c>
      <c r="Y266">
        <f>IF(Source!BI122=2,I255+I256+I258+I262+I263+I264-0, 0)</f>
        <v>0</v>
      </c>
      <c r="Z266">
        <f>IF(Source!BI122=3,I255+I256+I258+I262+I263+I264-0, 0)</f>
        <v>0</v>
      </c>
      <c r="AA266">
        <f>IF(Source!BI122=4,I255+I256+I258+I262+I263+I264,0)</f>
        <v>0</v>
      </c>
    </row>
    <row r="268" spans="1:35" ht="71.25" x14ac:dyDescent="0.2">
      <c r="A268" s="20">
        <v>19</v>
      </c>
      <c r="B268" s="20" t="str">
        <f>Source!F126</f>
        <v>3.15-140-3</v>
      </c>
      <c r="C268" s="20" t="s">
        <v>316</v>
      </c>
      <c r="D268" s="22" t="str">
        <f>Source!H126</f>
        <v>100 м2 окрашиваемой поверхности</v>
      </c>
      <c r="E268" s="21">
        <f>Source!I126</f>
        <v>0.55000000000000004</v>
      </c>
      <c r="F268" s="24"/>
      <c r="G268" s="23"/>
      <c r="H268" s="21"/>
      <c r="I268" s="24"/>
      <c r="J268" s="21"/>
      <c r="K268" s="24"/>
      <c r="Q268">
        <f>ROUND((Source!DN126/100)*ROUND((ROUND((Source!AF126*Source!AV126*Source!I126),2)),2), 2)</f>
        <v>41.77</v>
      </c>
      <c r="R268">
        <f>Source!X126</f>
        <v>1043.54</v>
      </c>
      <c r="S268">
        <f>ROUND((Source!DO126/100)*ROUND((ROUND((Source!AF126*Source!AV126*Source!I126),2)),2), 2)</f>
        <v>26.73</v>
      </c>
      <c r="T268">
        <f>Source!Y126</f>
        <v>515.48</v>
      </c>
      <c r="U268">
        <f>ROUND((175/100)*ROUND((ROUND((Source!AE126*Source!AV126*Source!I126),2)),2), 2)</f>
        <v>0</v>
      </c>
      <c r="V268">
        <f>ROUND((160/100)*ROUND(ROUND((ROUND((Source!AE126*Source!AV126*Source!I126),2)*Source!BS126),2), 2), 2)</f>
        <v>0</v>
      </c>
      <c r="AI268">
        <v>0</v>
      </c>
    </row>
    <row r="269" spans="1:35" x14ac:dyDescent="0.2">
      <c r="C269" s="31" t="str">
        <f>"Объем: "&amp;Source!I126&amp;"=55/"&amp;"100"</f>
        <v>Объем: 0,55=55/100</v>
      </c>
    </row>
    <row r="270" spans="1:35" ht="14.25" x14ac:dyDescent="0.2">
      <c r="A270" s="20"/>
      <c r="B270" s="20"/>
      <c r="C270" s="20" t="s">
        <v>1009</v>
      </c>
      <c r="D270" s="22"/>
      <c r="E270" s="21"/>
      <c r="F270" s="24">
        <f>Source!AO126</f>
        <v>66.040000000000006</v>
      </c>
      <c r="G270" s="23" t="str">
        <f>Source!DG126</f>
        <v>)*1,15</v>
      </c>
      <c r="H270" s="21">
        <f>Source!AV126</f>
        <v>1</v>
      </c>
      <c r="I270" s="24">
        <f>ROUND((ROUND((Source!AF126*Source!AV126*Source!I126),2)),2)</f>
        <v>41.77</v>
      </c>
      <c r="J270" s="21">
        <f>IF(Source!BA126&lt;&gt; 0, Source!BA126, 1)</f>
        <v>30.1</v>
      </c>
      <c r="K270" s="24">
        <f>Source!S126</f>
        <v>1257.28</v>
      </c>
      <c r="W270">
        <f>I270</f>
        <v>41.77</v>
      </c>
    </row>
    <row r="271" spans="1:35" ht="171" x14ac:dyDescent="0.2">
      <c r="A271" s="20" t="s">
        <v>318</v>
      </c>
      <c r="B271" s="20" t="str">
        <f>Source!F127</f>
        <v>1.1-1-2180</v>
      </c>
      <c r="C271" s="20" t="s">
        <v>978</v>
      </c>
      <c r="D271" s="22" t="str">
        <f>Source!H127</f>
        <v>т</v>
      </c>
      <c r="E271" s="21">
        <f>Source!I127</f>
        <v>8.2500000000000004E-3</v>
      </c>
      <c r="F271" s="24">
        <f>Source!AK127</f>
        <v>33030.400000000001</v>
      </c>
      <c r="G271" s="33" t="s">
        <v>3</v>
      </c>
      <c r="H271" s="21">
        <f>Source!AW127</f>
        <v>1</v>
      </c>
      <c r="I271" s="24">
        <f>ROUND((ROUND((Source!AC127*Source!AW127*Source!I127),2)),2)+(ROUND((ROUND(((Source!ET127)*Source!AV127*Source!I127),2)),2)+ROUND((ROUND(((Source!AE127-(Source!EU127))*Source!AV127*Source!I127),2)),2))+ROUND((ROUND((Source!AF127*Source!AV127*Source!I127),2)),2)</f>
        <v>272.5</v>
      </c>
      <c r="J271" s="21">
        <f>IF(Source!BC127&lt;&gt; 0, Source!BC127, 1)</f>
        <v>3.81</v>
      </c>
      <c r="K271" s="24">
        <f>Source!O127</f>
        <v>1038.23</v>
      </c>
      <c r="Q271">
        <f>ROUND((Source!DN127/100)*ROUND((ROUND((Source!AF127*Source!AV127*Source!I127),2)),2), 2)</f>
        <v>0</v>
      </c>
      <c r="R271">
        <f>Source!X127</f>
        <v>0</v>
      </c>
      <c r="S271">
        <f>ROUND((Source!DO127/100)*ROUND((ROUND((Source!AF127*Source!AV127*Source!I127),2)),2), 2)</f>
        <v>0</v>
      </c>
      <c r="T271">
        <f>Source!Y127</f>
        <v>0</v>
      </c>
      <c r="U271">
        <f>ROUND((175/100)*ROUND((ROUND((Source!AE127*Source!AV127*Source!I127),2)),2), 2)</f>
        <v>0</v>
      </c>
      <c r="V271">
        <f>ROUND((160/100)*ROUND(ROUND((ROUND((Source!AE127*Source!AV127*Source!I127),2)*Source!BS127),2), 2), 2)</f>
        <v>0</v>
      </c>
      <c r="X271">
        <f>IF(Source!BI127&lt;=1,I271, 0)</f>
        <v>272.5</v>
      </c>
      <c r="Y271">
        <f>IF(Source!BI127=2,I271, 0)</f>
        <v>0</v>
      </c>
      <c r="Z271">
        <f>IF(Source!BI127=3,I271, 0)</f>
        <v>0</v>
      </c>
      <c r="AA271">
        <f>IF(Source!BI127=4,I271, 0)</f>
        <v>0</v>
      </c>
      <c r="AI271">
        <v>3</v>
      </c>
    </row>
    <row r="272" spans="1:35" ht="14.25" x14ac:dyDescent="0.2">
      <c r="A272" s="20"/>
      <c r="B272" s="20"/>
      <c r="C272" s="20" t="s">
        <v>1010</v>
      </c>
      <c r="D272" s="22" t="s">
        <v>1011</v>
      </c>
      <c r="E272" s="21">
        <f>Source!DN126</f>
        <v>100</v>
      </c>
      <c r="F272" s="24"/>
      <c r="G272" s="23"/>
      <c r="H272" s="21"/>
      <c r="I272" s="24">
        <f>SUM(Q268:Q271)</f>
        <v>41.77</v>
      </c>
      <c r="J272" s="21">
        <f>Source!BZ126</f>
        <v>83</v>
      </c>
      <c r="K272" s="24">
        <f>SUM(R268:R271)</f>
        <v>1043.54</v>
      </c>
    </row>
    <row r="273" spans="1:35" ht="14.25" x14ac:dyDescent="0.2">
      <c r="A273" s="20"/>
      <c r="B273" s="20"/>
      <c r="C273" s="20" t="s">
        <v>1012</v>
      </c>
      <c r="D273" s="22" t="s">
        <v>1011</v>
      </c>
      <c r="E273" s="21">
        <f>Source!DO126</f>
        <v>64</v>
      </c>
      <c r="F273" s="24"/>
      <c r="G273" s="23"/>
      <c r="H273" s="21"/>
      <c r="I273" s="24">
        <f>SUM(S268:S272)</f>
        <v>26.73</v>
      </c>
      <c r="J273" s="21">
        <f>Source!CA126</f>
        <v>41</v>
      </c>
      <c r="K273" s="24">
        <f>SUM(T268:T272)</f>
        <v>515.48</v>
      </c>
    </row>
    <row r="274" spans="1:35" ht="14.25" x14ac:dyDescent="0.2">
      <c r="A274" s="26"/>
      <c r="B274" s="26"/>
      <c r="C274" s="26" t="s">
        <v>1013</v>
      </c>
      <c r="D274" s="27" t="s">
        <v>1014</v>
      </c>
      <c r="E274" s="28">
        <f>Source!AQ126</f>
        <v>5.49</v>
      </c>
      <c r="F274" s="29"/>
      <c r="G274" s="30" t="str">
        <f>Source!DI126</f>
        <v>)*1,15</v>
      </c>
      <c r="H274" s="28">
        <f>Source!AV126</f>
        <v>1</v>
      </c>
      <c r="I274" s="29">
        <f>Source!U126</f>
        <v>3.4724249999999999</v>
      </c>
      <c r="J274" s="28"/>
      <c r="K274" s="29"/>
      <c r="AB274" s="25">
        <f>I274</f>
        <v>3.4724249999999999</v>
      </c>
    </row>
    <row r="275" spans="1:35" ht="15" x14ac:dyDescent="0.25">
      <c r="C275" s="13" t="s">
        <v>1015</v>
      </c>
      <c r="H275" s="50">
        <f>I270+I272+I273+SUM(I271:I271)</f>
        <v>382.77</v>
      </c>
      <c r="I275" s="50"/>
      <c r="J275" s="50">
        <f>K270+K272+K273+SUM(K271:K271)</f>
        <v>3854.5299999999997</v>
      </c>
      <c r="K275" s="50"/>
      <c r="O275" s="25">
        <f>I270+I272+I273+SUM(I271:I271)</f>
        <v>382.77</v>
      </c>
      <c r="P275" s="25">
        <f>K270+K272+K273+SUM(K271:K271)</f>
        <v>3854.5299999999997</v>
      </c>
      <c r="X275">
        <f>IF(Source!BI126&lt;=1,I270+I272+I273-0, 0)</f>
        <v>110.27000000000001</v>
      </c>
      <c r="Y275">
        <f>IF(Source!BI126=2,I270+I272+I273-0, 0)</f>
        <v>0</v>
      </c>
      <c r="Z275">
        <f>IF(Source!BI126=3,I270+I272+I273-0, 0)</f>
        <v>0</v>
      </c>
      <c r="AA275">
        <f>IF(Source!BI126=4,I270+I272+I273,0)</f>
        <v>0</v>
      </c>
    </row>
    <row r="278" spans="1:35" ht="15" x14ac:dyDescent="0.25">
      <c r="B278" s="51" t="str">
        <f>Source!G128</f>
        <v>Перегородки</v>
      </c>
      <c r="C278" s="51"/>
      <c r="D278" s="51"/>
      <c r="E278" s="51"/>
      <c r="F278" s="51"/>
      <c r="G278" s="51"/>
      <c r="H278" s="51"/>
      <c r="I278" s="51"/>
      <c r="J278" s="51"/>
    </row>
    <row r="279" spans="1:35" ht="71.25" x14ac:dyDescent="0.2">
      <c r="A279" s="20">
        <v>20</v>
      </c>
      <c r="B279" s="20" t="str">
        <f>Source!F129</f>
        <v>3.10-89-1</v>
      </c>
      <c r="C279" s="20" t="s">
        <v>321</v>
      </c>
      <c r="D279" s="22" t="str">
        <f>Source!H129</f>
        <v>100 м2 перегородки</v>
      </c>
      <c r="E279" s="21">
        <f>Source!I129</f>
        <v>0.17</v>
      </c>
      <c r="F279" s="24"/>
      <c r="G279" s="23"/>
      <c r="H279" s="21"/>
      <c r="I279" s="24"/>
      <c r="J279" s="21"/>
      <c r="K279" s="24"/>
      <c r="Q279">
        <f>ROUND((Source!DN129/100)*ROUND((ROUND((Source!AF129*Source!AV129*Source!I129),2)),2), 2)</f>
        <v>308.86</v>
      </c>
      <c r="R279">
        <f>Source!X129</f>
        <v>7662.18</v>
      </c>
      <c r="S279">
        <f>ROUND((Source!DO129/100)*ROUND((ROUND((Source!AF129*Source!AV129*Source!I129),2)),2), 2)</f>
        <v>237.59</v>
      </c>
      <c r="T279">
        <f>Source!Y129</f>
        <v>4188.66</v>
      </c>
      <c r="U279">
        <f>ROUND((175/100)*ROUND((ROUND((Source!AE129*Source!AV129*Source!I129),2)),2), 2)</f>
        <v>5.16</v>
      </c>
      <c r="V279">
        <f>ROUND((160/100)*ROUND(ROUND((ROUND((Source!AE129*Source!AV129*Source!I129),2)*Source!BS129),2), 2), 2)</f>
        <v>142.08000000000001</v>
      </c>
      <c r="AI279">
        <v>0</v>
      </c>
    </row>
    <row r="280" spans="1:35" x14ac:dyDescent="0.2">
      <c r="C280" s="31" t="str">
        <f>"Объем: "&amp;Source!I129&amp;"=17/"&amp;"100"</f>
        <v>Объем: 0,17=17/100</v>
      </c>
    </row>
    <row r="281" spans="1:35" ht="14.25" x14ac:dyDescent="0.2">
      <c r="A281" s="20"/>
      <c r="B281" s="20"/>
      <c r="C281" s="20" t="s">
        <v>1009</v>
      </c>
      <c r="D281" s="22"/>
      <c r="E281" s="21"/>
      <c r="F281" s="24">
        <f>Source!AO129</f>
        <v>1736.12</v>
      </c>
      <c r="G281" s="23" t="str">
        <f>Source!DG129</f>
        <v>)*1,15</v>
      </c>
      <c r="H281" s="21">
        <f>Source!AV129</f>
        <v>1</v>
      </c>
      <c r="I281" s="24">
        <f>ROUND((ROUND((Source!AF129*Source!AV129*Source!I129),2)),2)</f>
        <v>339.41</v>
      </c>
      <c r="J281" s="21">
        <f>IF(Source!BA129&lt;&gt; 0, Source!BA129, 1)</f>
        <v>30.1</v>
      </c>
      <c r="K281" s="24">
        <f>Source!S129</f>
        <v>10216.24</v>
      </c>
      <c r="W281">
        <f>I281</f>
        <v>339.41</v>
      </c>
    </row>
    <row r="282" spans="1:35" ht="14.25" x14ac:dyDescent="0.2">
      <c r="A282" s="20"/>
      <c r="B282" s="20"/>
      <c r="C282" s="20" t="s">
        <v>1016</v>
      </c>
      <c r="D282" s="22"/>
      <c r="E282" s="21"/>
      <c r="F282" s="24">
        <f>Source!AM129</f>
        <v>132.04</v>
      </c>
      <c r="G282" s="23" t="str">
        <f>Source!DE129</f>
        <v>)*1,25</v>
      </c>
      <c r="H282" s="21">
        <f>Source!AV129</f>
        <v>1</v>
      </c>
      <c r="I282" s="24">
        <f>(ROUND((ROUND((((Source!ET129*1.25))*Source!AV129*Source!I129),2)),2)+ROUND((ROUND(((Source!AE129-((Source!EU129*1.25)))*Source!AV129*Source!I129),2)),2))</f>
        <v>28.06</v>
      </c>
      <c r="J282" s="21">
        <f>IF(Source!BB129&lt;&gt; 0, Source!BB129, 1)</f>
        <v>11.14</v>
      </c>
      <c r="K282" s="24">
        <f>Source!Q129</f>
        <v>312.58999999999997</v>
      </c>
    </row>
    <row r="283" spans="1:35" ht="14.25" x14ac:dyDescent="0.2">
      <c r="A283" s="20"/>
      <c r="B283" s="20"/>
      <c r="C283" s="20" t="s">
        <v>1017</v>
      </c>
      <c r="D283" s="22"/>
      <c r="E283" s="21"/>
      <c r="F283" s="24">
        <f>Source!AN129</f>
        <v>13.9</v>
      </c>
      <c r="G283" s="23" t="str">
        <f>Source!DF129</f>
        <v>)*1,25</v>
      </c>
      <c r="H283" s="21">
        <f>Source!AV129</f>
        <v>1</v>
      </c>
      <c r="I283" s="32">
        <f>ROUND((ROUND((Source!AE129*Source!AV129*Source!I129),2)),2)</f>
        <v>2.95</v>
      </c>
      <c r="J283" s="21">
        <f>IF(Source!BS129&lt;&gt; 0, Source!BS129, 1)</f>
        <v>30.1</v>
      </c>
      <c r="K283" s="32">
        <f>Source!R129</f>
        <v>88.8</v>
      </c>
      <c r="W283">
        <f>I283</f>
        <v>2.95</v>
      </c>
    </row>
    <row r="284" spans="1:35" ht="14.25" x14ac:dyDescent="0.2">
      <c r="A284" s="20"/>
      <c r="B284" s="20"/>
      <c r="C284" s="20" t="s">
        <v>1019</v>
      </c>
      <c r="D284" s="22"/>
      <c r="E284" s="21"/>
      <c r="F284" s="24">
        <f>Source!AL129</f>
        <v>2183.3200000000002</v>
      </c>
      <c r="G284" s="23" t="str">
        <f>Source!DD129</f>
        <v/>
      </c>
      <c r="H284" s="21">
        <f>Source!AW129</f>
        <v>1</v>
      </c>
      <c r="I284" s="24">
        <f>ROUND((ROUND((Source!AC129*Source!AW129*Source!I129),2)),2)</f>
        <v>371.16</v>
      </c>
      <c r="J284" s="21">
        <f>IF(Source!BC129&lt;&gt; 0, Source!BC129, 1)</f>
        <v>5.61</v>
      </c>
      <c r="K284" s="24">
        <f>Source!P129</f>
        <v>2082.21</v>
      </c>
    </row>
    <row r="285" spans="1:35" ht="114" x14ac:dyDescent="0.2">
      <c r="A285" s="20" t="s">
        <v>322</v>
      </c>
      <c r="B285" s="20" t="str">
        <f>Source!F130</f>
        <v>1.1-1-3719</v>
      </c>
      <c r="C285" s="20" t="s">
        <v>124</v>
      </c>
      <c r="D285" s="22" t="str">
        <f>Source!H130</f>
        <v>м</v>
      </c>
      <c r="E285" s="21">
        <f>Source!I130</f>
        <v>21.42</v>
      </c>
      <c r="F285" s="24">
        <f>Source!AK130</f>
        <v>0.71</v>
      </c>
      <c r="G285" s="33" t="s">
        <v>3</v>
      </c>
      <c r="H285" s="21">
        <f>Source!AW130</f>
        <v>1</v>
      </c>
      <c r="I285" s="24">
        <f>ROUND((ROUND((Source!AC130*Source!AW130*Source!I130),2)),2)+(ROUND((ROUND(((Source!ET130)*Source!AV130*Source!I130),2)),2)+ROUND((ROUND(((Source!AE130-(Source!EU130))*Source!AV130*Source!I130),2)),2))+ROUND((ROUND((Source!AF130*Source!AV130*Source!I130),2)),2)</f>
        <v>15.21</v>
      </c>
      <c r="J285" s="21">
        <f>IF(Source!BC130&lt;&gt; 0, Source!BC130, 1)</f>
        <v>9.24</v>
      </c>
      <c r="K285" s="24">
        <f>Source!O130</f>
        <v>140.54</v>
      </c>
      <c r="Q285">
        <f>ROUND((Source!DN130/100)*ROUND((ROUND((Source!AF130*Source!AV130*Source!I130),2)),2), 2)</f>
        <v>0</v>
      </c>
      <c r="R285">
        <f>Source!X130</f>
        <v>0</v>
      </c>
      <c r="S285">
        <f>ROUND((Source!DO130/100)*ROUND((ROUND((Source!AF130*Source!AV130*Source!I130),2)),2), 2)</f>
        <v>0</v>
      </c>
      <c r="T285">
        <f>Source!Y130</f>
        <v>0</v>
      </c>
      <c r="U285">
        <f>ROUND((175/100)*ROUND((ROUND((Source!AE130*Source!AV130*Source!I130),2)),2), 2)</f>
        <v>0</v>
      </c>
      <c r="V285">
        <f>ROUND((160/100)*ROUND(ROUND((ROUND((Source!AE130*Source!AV130*Source!I130),2)*Source!BS130),2), 2), 2)</f>
        <v>0</v>
      </c>
      <c r="X285">
        <f>IF(Source!BI130&lt;=1,I285, 0)</f>
        <v>15.21</v>
      </c>
      <c r="Y285">
        <f>IF(Source!BI130=2,I285, 0)</f>
        <v>0</v>
      </c>
      <c r="Z285">
        <f>IF(Source!BI130=3,I285, 0)</f>
        <v>0</v>
      </c>
      <c r="AA285">
        <f>IF(Source!BI130=4,I285, 0)</f>
        <v>0</v>
      </c>
      <c r="AI285">
        <v>3</v>
      </c>
    </row>
    <row r="286" spans="1:35" ht="85.5" x14ac:dyDescent="0.2">
      <c r="A286" s="20" t="s">
        <v>323</v>
      </c>
      <c r="B286" s="20" t="str">
        <f>Source!F131</f>
        <v>1.7-4-31</v>
      </c>
      <c r="C286" s="20" t="s">
        <v>325</v>
      </c>
      <c r="D286" s="22" t="str">
        <f>Source!H131</f>
        <v>м</v>
      </c>
      <c r="E286" s="21">
        <f>Source!I131</f>
        <v>34.68</v>
      </c>
      <c r="F286" s="24">
        <f>Source!AK131</f>
        <v>19.440000000000001</v>
      </c>
      <c r="G286" s="33" t="s">
        <v>3</v>
      </c>
      <c r="H286" s="21">
        <f>Source!AW131</f>
        <v>1</v>
      </c>
      <c r="I286" s="24">
        <f>ROUND((ROUND((Source!AC131*Source!AW131*Source!I131),2)),2)+(ROUND((ROUND(((Source!ET131)*Source!AV131*Source!I131),2)),2)+ROUND((ROUND(((Source!AE131-(Source!EU131))*Source!AV131*Source!I131),2)),2))+ROUND((ROUND((Source!AF131*Source!AV131*Source!I131),2)),2)</f>
        <v>674.18</v>
      </c>
      <c r="J286" s="21">
        <f>IF(Source!BC131&lt;&gt; 0, Source!BC131, 1)</f>
        <v>5.08</v>
      </c>
      <c r="K286" s="24">
        <f>Source!O131</f>
        <v>3424.83</v>
      </c>
      <c r="Q286">
        <f>ROUND((Source!DN131/100)*ROUND((ROUND((Source!AF131*Source!AV131*Source!I131),2)),2), 2)</f>
        <v>0</v>
      </c>
      <c r="R286">
        <f>Source!X131</f>
        <v>0</v>
      </c>
      <c r="S286">
        <f>ROUND((Source!DO131/100)*ROUND((ROUND((Source!AF131*Source!AV131*Source!I131),2)),2), 2)</f>
        <v>0</v>
      </c>
      <c r="T286">
        <f>Source!Y131</f>
        <v>0</v>
      </c>
      <c r="U286">
        <f>ROUND((175/100)*ROUND((ROUND((Source!AE131*Source!AV131*Source!I131),2)),2), 2)</f>
        <v>0</v>
      </c>
      <c r="V286">
        <f>ROUND((160/100)*ROUND(ROUND((ROUND((Source!AE131*Source!AV131*Source!I131),2)*Source!BS131),2), 2), 2)</f>
        <v>0</v>
      </c>
      <c r="X286">
        <f>IF(Source!BI131&lt;=1,I286, 0)</f>
        <v>674.18</v>
      </c>
      <c r="Y286">
        <f>IF(Source!BI131=2,I286, 0)</f>
        <v>0</v>
      </c>
      <c r="Z286">
        <f>IF(Source!BI131=3,I286, 0)</f>
        <v>0</v>
      </c>
      <c r="AA286">
        <f>IF(Source!BI131=4,I286, 0)</f>
        <v>0</v>
      </c>
      <c r="AI286">
        <v>3</v>
      </c>
    </row>
    <row r="287" spans="1:35" ht="114" x14ac:dyDescent="0.2">
      <c r="A287" s="20" t="s">
        <v>327</v>
      </c>
      <c r="B287" s="20" t="str">
        <f>Source!F132</f>
        <v>1.7-4-27</v>
      </c>
      <c r="C287" s="20" t="s">
        <v>329</v>
      </c>
      <c r="D287" s="22" t="str">
        <f>Source!H132</f>
        <v>м</v>
      </c>
      <c r="E287" s="21">
        <f>Source!I132</f>
        <v>12.920000000000002</v>
      </c>
      <c r="F287" s="24">
        <f>Source!AK132</f>
        <v>23.58</v>
      </c>
      <c r="G287" s="33" t="s">
        <v>3</v>
      </c>
      <c r="H287" s="21">
        <f>Source!AW132</f>
        <v>1</v>
      </c>
      <c r="I287" s="24">
        <f>ROUND((ROUND((Source!AC132*Source!AW132*Source!I132),2)),2)+(ROUND((ROUND(((Source!ET132)*Source!AV132*Source!I132),2)),2)+ROUND((ROUND(((Source!AE132-(Source!EU132))*Source!AV132*Source!I132),2)),2))+ROUND((ROUND((Source!AF132*Source!AV132*Source!I132),2)),2)</f>
        <v>304.64999999999998</v>
      </c>
      <c r="J287" s="21">
        <f>IF(Source!BC132&lt;&gt; 0, Source!BC132, 1)</f>
        <v>3.87</v>
      </c>
      <c r="K287" s="24">
        <f>Source!O132</f>
        <v>1179</v>
      </c>
      <c r="Q287">
        <f>ROUND((Source!DN132/100)*ROUND((ROUND((Source!AF132*Source!AV132*Source!I132),2)),2), 2)</f>
        <v>0</v>
      </c>
      <c r="R287">
        <f>Source!X132</f>
        <v>0</v>
      </c>
      <c r="S287">
        <f>ROUND((Source!DO132/100)*ROUND((ROUND((Source!AF132*Source!AV132*Source!I132),2)),2), 2)</f>
        <v>0</v>
      </c>
      <c r="T287">
        <f>Source!Y132</f>
        <v>0</v>
      </c>
      <c r="U287">
        <f>ROUND((175/100)*ROUND((ROUND((Source!AE132*Source!AV132*Source!I132),2)),2), 2)</f>
        <v>0</v>
      </c>
      <c r="V287">
        <f>ROUND((160/100)*ROUND(ROUND((ROUND((Source!AE132*Source!AV132*Source!I132),2)*Source!BS132),2), 2), 2)</f>
        <v>0</v>
      </c>
      <c r="X287">
        <f>IF(Source!BI132&lt;=1,I287, 0)</f>
        <v>304.64999999999998</v>
      </c>
      <c r="Y287">
        <f>IF(Source!BI132=2,I287, 0)</f>
        <v>0</v>
      </c>
      <c r="Z287">
        <f>IF(Source!BI132=3,I287, 0)</f>
        <v>0</v>
      </c>
      <c r="AA287">
        <f>IF(Source!BI132=4,I287, 0)</f>
        <v>0</v>
      </c>
      <c r="AI287">
        <v>3</v>
      </c>
    </row>
    <row r="288" spans="1:35" ht="28.5" x14ac:dyDescent="0.2">
      <c r="A288" s="20" t="s">
        <v>331</v>
      </c>
      <c r="B288" s="20" t="str">
        <f>Source!F133</f>
        <v>1.1-1-567</v>
      </c>
      <c r="C288" s="20" t="s">
        <v>333</v>
      </c>
      <c r="D288" s="22" t="str">
        <f>Source!H133</f>
        <v>м2</v>
      </c>
      <c r="E288" s="21">
        <f>Source!I133</f>
        <v>71.569999999999993</v>
      </c>
      <c r="F288" s="24">
        <f>Source!AK133</f>
        <v>34.68</v>
      </c>
      <c r="G288" s="33" t="s">
        <v>3</v>
      </c>
      <c r="H288" s="21">
        <f>Source!AW133</f>
        <v>1</v>
      </c>
      <c r="I288" s="24">
        <f>ROUND((ROUND((Source!AC133*Source!AW133*Source!I133),2)),2)+(ROUND((ROUND(((Source!ET133)*Source!AV133*Source!I133),2)),2)+ROUND((ROUND(((Source!AE133-(Source!EU133))*Source!AV133*Source!I133),2)),2))+ROUND((ROUND((Source!AF133*Source!AV133*Source!I133),2)),2)</f>
        <v>2482.0500000000002</v>
      </c>
      <c r="J288" s="21">
        <f>IF(Source!BC133&lt;&gt; 0, Source!BC133, 1)</f>
        <v>4.6100000000000003</v>
      </c>
      <c r="K288" s="24">
        <f>Source!O133</f>
        <v>11442.25</v>
      </c>
      <c r="Q288">
        <f>ROUND((Source!DN133/100)*ROUND((ROUND((Source!AF133*Source!AV133*Source!I133),2)),2), 2)</f>
        <v>0</v>
      </c>
      <c r="R288">
        <f>Source!X133</f>
        <v>0</v>
      </c>
      <c r="S288">
        <f>ROUND((Source!DO133/100)*ROUND((ROUND((Source!AF133*Source!AV133*Source!I133),2)),2), 2)</f>
        <v>0</v>
      </c>
      <c r="T288">
        <f>Source!Y133</f>
        <v>0</v>
      </c>
      <c r="U288">
        <f>ROUND((175/100)*ROUND((ROUND((Source!AE133*Source!AV133*Source!I133),2)),2), 2)</f>
        <v>0</v>
      </c>
      <c r="V288">
        <f>ROUND((160/100)*ROUND(ROUND((ROUND((Source!AE133*Source!AV133*Source!I133),2)*Source!BS133),2), 2), 2)</f>
        <v>0</v>
      </c>
      <c r="X288">
        <f>IF(Source!BI133&lt;=1,I288, 0)</f>
        <v>2482.0500000000002</v>
      </c>
      <c r="Y288">
        <f>IF(Source!BI133=2,I288, 0)</f>
        <v>0</v>
      </c>
      <c r="Z288">
        <f>IF(Source!BI133=3,I288, 0)</f>
        <v>0</v>
      </c>
      <c r="AA288">
        <f>IF(Source!BI133=4,I288, 0)</f>
        <v>0</v>
      </c>
      <c r="AI288">
        <v>3</v>
      </c>
    </row>
    <row r="289" spans="1:35" ht="42.75" x14ac:dyDescent="0.2">
      <c r="A289" s="20" t="s">
        <v>335</v>
      </c>
      <c r="B289" s="20" t="str">
        <f>Source!F134</f>
        <v>1.1-1-884</v>
      </c>
      <c r="C289" s="20" t="s">
        <v>337</v>
      </c>
      <c r="D289" s="22" t="str">
        <f>Source!H134</f>
        <v>м3</v>
      </c>
      <c r="E289" s="21">
        <f>Source!I134</f>
        <v>0.84999999999999987</v>
      </c>
      <c r="F289" s="24">
        <f>Source!AK134</f>
        <v>609.28</v>
      </c>
      <c r="G289" s="33" t="s">
        <v>3</v>
      </c>
      <c r="H289" s="21">
        <f>Source!AW134</f>
        <v>1</v>
      </c>
      <c r="I289" s="24">
        <f>ROUND((ROUND((Source!AC134*Source!AW134*Source!I134),2)),2)+(ROUND((ROUND(((Source!ET134)*Source!AV134*Source!I134),2)),2)+ROUND((ROUND(((Source!AE134-(Source!EU134))*Source!AV134*Source!I134),2)),2))+ROUND((ROUND((Source!AF134*Source!AV134*Source!I134),2)),2)</f>
        <v>517.89</v>
      </c>
      <c r="J289" s="21">
        <f>IF(Source!BC134&lt;&gt; 0, Source!BC134, 1)</f>
        <v>8.76</v>
      </c>
      <c r="K289" s="24">
        <f>Source!O134</f>
        <v>4536.72</v>
      </c>
      <c r="Q289">
        <f>ROUND((Source!DN134/100)*ROUND((ROUND((Source!AF134*Source!AV134*Source!I134),2)),2), 2)</f>
        <v>0</v>
      </c>
      <c r="R289">
        <f>Source!X134</f>
        <v>0</v>
      </c>
      <c r="S289">
        <f>ROUND((Source!DO134/100)*ROUND((ROUND((Source!AF134*Source!AV134*Source!I134),2)),2), 2)</f>
        <v>0</v>
      </c>
      <c r="T289">
        <f>Source!Y134</f>
        <v>0</v>
      </c>
      <c r="U289">
        <f>ROUND((175/100)*ROUND((ROUND((Source!AE134*Source!AV134*Source!I134),2)),2), 2)</f>
        <v>0</v>
      </c>
      <c r="V289">
        <f>ROUND((160/100)*ROUND(ROUND((ROUND((Source!AE134*Source!AV134*Source!I134),2)*Source!BS134),2), 2), 2)</f>
        <v>0</v>
      </c>
      <c r="X289">
        <f>IF(Source!BI134&lt;=1,I289, 0)</f>
        <v>517.89</v>
      </c>
      <c r="Y289">
        <f>IF(Source!BI134=2,I289, 0)</f>
        <v>0</v>
      </c>
      <c r="Z289">
        <f>IF(Source!BI134=3,I289, 0)</f>
        <v>0</v>
      </c>
      <c r="AA289">
        <f>IF(Source!BI134=4,I289, 0)</f>
        <v>0</v>
      </c>
      <c r="AI289">
        <v>3</v>
      </c>
    </row>
    <row r="290" spans="1:35" ht="14.25" x14ac:dyDescent="0.2">
      <c r="A290" s="20"/>
      <c r="B290" s="20"/>
      <c r="C290" s="20" t="s">
        <v>1010</v>
      </c>
      <c r="D290" s="22" t="s">
        <v>1011</v>
      </c>
      <c r="E290" s="21">
        <f>Source!DN129</f>
        <v>91</v>
      </c>
      <c r="F290" s="24"/>
      <c r="G290" s="23"/>
      <c r="H290" s="21"/>
      <c r="I290" s="24">
        <f>SUM(Q279:Q289)</f>
        <v>308.86</v>
      </c>
      <c r="J290" s="21">
        <f>Source!BZ129</f>
        <v>75</v>
      </c>
      <c r="K290" s="24">
        <f>SUM(R279:R289)</f>
        <v>7662.18</v>
      </c>
    </row>
    <row r="291" spans="1:35" ht="14.25" x14ac:dyDescent="0.2">
      <c r="A291" s="20"/>
      <c r="B291" s="20"/>
      <c r="C291" s="20" t="s">
        <v>1012</v>
      </c>
      <c r="D291" s="22" t="s">
        <v>1011</v>
      </c>
      <c r="E291" s="21">
        <f>Source!DO129</f>
        <v>70</v>
      </c>
      <c r="F291" s="24"/>
      <c r="G291" s="23"/>
      <c r="H291" s="21"/>
      <c r="I291" s="24">
        <f>SUM(S279:S290)</f>
        <v>237.59</v>
      </c>
      <c r="J291" s="21">
        <f>Source!CA129</f>
        <v>41</v>
      </c>
      <c r="K291" s="24">
        <f>SUM(T279:T290)</f>
        <v>4188.66</v>
      </c>
    </row>
    <row r="292" spans="1:35" ht="14.25" x14ac:dyDescent="0.2">
      <c r="A292" s="20"/>
      <c r="B292" s="20"/>
      <c r="C292" s="20" t="s">
        <v>1018</v>
      </c>
      <c r="D292" s="22" t="s">
        <v>1011</v>
      </c>
      <c r="E292" s="21">
        <f>175</f>
        <v>175</v>
      </c>
      <c r="F292" s="24"/>
      <c r="G292" s="23"/>
      <c r="H292" s="21"/>
      <c r="I292" s="24">
        <f>SUM(U279:U291)</f>
        <v>5.16</v>
      </c>
      <c r="J292" s="21">
        <f>160</f>
        <v>160</v>
      </c>
      <c r="K292" s="24">
        <f>SUM(V279:V291)</f>
        <v>142.08000000000001</v>
      </c>
    </row>
    <row r="293" spans="1:35" ht="14.25" x14ac:dyDescent="0.2">
      <c r="A293" s="26"/>
      <c r="B293" s="26"/>
      <c r="C293" s="26" t="s">
        <v>1013</v>
      </c>
      <c r="D293" s="27" t="s">
        <v>1014</v>
      </c>
      <c r="E293" s="28">
        <f>Source!AQ129</f>
        <v>147.65</v>
      </c>
      <c r="F293" s="29"/>
      <c r="G293" s="30" t="str">
        <f>Source!DI129</f>
        <v>)*1,15</v>
      </c>
      <c r="H293" s="28">
        <f>Source!AV129</f>
        <v>1</v>
      </c>
      <c r="I293" s="29">
        <f>Source!U129</f>
        <v>28.865575</v>
      </c>
      <c r="J293" s="28"/>
      <c r="K293" s="29"/>
      <c r="AB293" s="25">
        <f>I293</f>
        <v>28.865575</v>
      </c>
    </row>
    <row r="294" spans="1:35" ht="15" x14ac:dyDescent="0.25">
      <c r="C294" s="13" t="s">
        <v>1015</v>
      </c>
      <c r="H294" s="50">
        <f>I281+I282+I284+I290+I291+I292+SUM(I285:I289)</f>
        <v>5284.22</v>
      </c>
      <c r="I294" s="50"/>
      <c r="J294" s="50">
        <f>K281+K282+K284+K290+K291+K292+SUM(K285:K289)</f>
        <v>45327.3</v>
      </c>
      <c r="K294" s="50"/>
      <c r="O294" s="25">
        <f>I281+I282+I284+I290+I291+I292+SUM(I285:I289)</f>
        <v>5284.22</v>
      </c>
      <c r="P294" s="25">
        <f>K281+K282+K284+K290+K291+K292+SUM(K285:K289)</f>
        <v>45327.3</v>
      </c>
      <c r="X294">
        <f>IF(Source!BI129&lt;=1,I281+I282+I284+I290+I291+I292-0, 0)</f>
        <v>1290.2400000000002</v>
      </c>
      <c r="Y294">
        <f>IF(Source!BI129=2,I281+I282+I284+I290+I291+I292-0, 0)</f>
        <v>0</v>
      </c>
      <c r="Z294">
        <f>IF(Source!BI129=3,I281+I282+I284+I290+I291+I292-0, 0)</f>
        <v>0</v>
      </c>
      <c r="AA294">
        <f>IF(Source!BI129=4,I281+I282+I284+I290+I291+I292,0)</f>
        <v>0</v>
      </c>
    </row>
    <row r="296" spans="1:35" ht="71.25" x14ac:dyDescent="0.2">
      <c r="A296" s="20">
        <v>21</v>
      </c>
      <c r="B296" s="20" t="str">
        <f>Source!F142</f>
        <v>3.15-103-5</v>
      </c>
      <c r="C296" s="20" t="s">
        <v>351</v>
      </c>
      <c r="D296" s="22" t="str">
        <f>Source!H142</f>
        <v>100 м2 окрашиваемой поверхности</v>
      </c>
      <c r="E296" s="21">
        <f>Source!I142</f>
        <v>0.34</v>
      </c>
      <c r="F296" s="24"/>
      <c r="G296" s="23"/>
      <c r="H296" s="21"/>
      <c r="I296" s="24"/>
      <c r="J296" s="21"/>
      <c r="K296" s="24"/>
      <c r="Q296">
        <f>ROUND((Source!DN142/100)*ROUND((ROUND((Source!AF142*Source!AV142*Source!I142),2)),2), 2)</f>
        <v>53.23</v>
      </c>
      <c r="R296">
        <f>Source!X142</f>
        <v>1329.84</v>
      </c>
      <c r="S296">
        <f>ROUND((Source!DO142/100)*ROUND((ROUND((Source!AF142*Source!AV142*Source!I142),2)),2), 2)</f>
        <v>34.07</v>
      </c>
      <c r="T296">
        <f>Source!Y142</f>
        <v>656.91</v>
      </c>
      <c r="U296">
        <f>ROUND((175/100)*ROUND((ROUND((Source!AE142*Source!AV142*Source!I142),2)),2), 2)</f>
        <v>0.28000000000000003</v>
      </c>
      <c r="V296">
        <f>ROUND((160/100)*ROUND(ROUND((ROUND((Source!AE142*Source!AV142*Source!I142),2)*Source!BS142),2), 2), 2)</f>
        <v>7.71</v>
      </c>
      <c r="AI296">
        <v>0</v>
      </c>
    </row>
    <row r="297" spans="1:35" x14ac:dyDescent="0.2">
      <c r="C297" s="31" t="str">
        <f>"Объем: "&amp;Source!I142&amp;"=34/"&amp;"100"</f>
        <v>Объем: 0,34=34/100</v>
      </c>
    </row>
    <row r="298" spans="1:35" ht="14.25" x14ac:dyDescent="0.2">
      <c r="A298" s="20"/>
      <c r="B298" s="20"/>
      <c r="C298" s="20" t="s">
        <v>1009</v>
      </c>
      <c r="D298" s="22"/>
      <c r="E298" s="21"/>
      <c r="F298" s="24">
        <f>Source!AO142</f>
        <v>136.13999999999999</v>
      </c>
      <c r="G298" s="23" t="str">
        <f>Source!DG142</f>
        <v>)*1,15</v>
      </c>
      <c r="H298" s="21">
        <f>Source!AV142</f>
        <v>1</v>
      </c>
      <c r="I298" s="24">
        <f>ROUND((ROUND((Source!AF142*Source!AV142*Source!I142),2)),2)</f>
        <v>53.23</v>
      </c>
      <c r="J298" s="21">
        <f>IF(Source!BA142&lt;&gt; 0, Source!BA142, 1)</f>
        <v>30.1</v>
      </c>
      <c r="K298" s="24">
        <f>Source!S142</f>
        <v>1602.22</v>
      </c>
      <c r="W298">
        <f>I298</f>
        <v>53.23</v>
      </c>
    </row>
    <row r="299" spans="1:35" ht="14.25" x14ac:dyDescent="0.2">
      <c r="A299" s="20"/>
      <c r="B299" s="20"/>
      <c r="C299" s="20" t="s">
        <v>1016</v>
      </c>
      <c r="D299" s="22"/>
      <c r="E299" s="21"/>
      <c r="F299" s="24">
        <f>Source!AM142</f>
        <v>2.4900000000000002</v>
      </c>
      <c r="G299" s="23" t="str">
        <f>Source!DE142</f>
        <v>)*1,25</v>
      </c>
      <c r="H299" s="21">
        <f>Source!AV142</f>
        <v>1</v>
      </c>
      <c r="I299" s="24">
        <f>(ROUND((ROUND((((Source!ET142*1.25))*Source!AV142*Source!I142),2)),2)+ROUND((ROUND(((Source!AE142-((Source!EU142*1.25)))*Source!AV142*Source!I142),2)),2))</f>
        <v>1.06</v>
      </c>
      <c r="J299" s="21">
        <f>IF(Source!BB142&lt;&gt; 0, Source!BB142, 1)</f>
        <v>12.1</v>
      </c>
      <c r="K299" s="24">
        <f>Source!Q142</f>
        <v>12.83</v>
      </c>
    </row>
    <row r="300" spans="1:35" ht="14.25" x14ac:dyDescent="0.2">
      <c r="A300" s="20"/>
      <c r="B300" s="20"/>
      <c r="C300" s="20" t="s">
        <v>1017</v>
      </c>
      <c r="D300" s="22"/>
      <c r="E300" s="21"/>
      <c r="F300" s="24">
        <f>Source!AN142</f>
        <v>0.38</v>
      </c>
      <c r="G300" s="23" t="str">
        <f>Source!DF142</f>
        <v>)*1,25</v>
      </c>
      <c r="H300" s="21">
        <f>Source!AV142</f>
        <v>1</v>
      </c>
      <c r="I300" s="32">
        <f>ROUND((ROUND((Source!AE142*Source!AV142*Source!I142),2)),2)</f>
        <v>0.16</v>
      </c>
      <c r="J300" s="21">
        <f>IF(Source!BS142&lt;&gt; 0, Source!BS142, 1)</f>
        <v>30.1</v>
      </c>
      <c r="K300" s="32">
        <f>Source!R142</f>
        <v>4.82</v>
      </c>
      <c r="W300">
        <f>I300</f>
        <v>0.16</v>
      </c>
    </row>
    <row r="301" spans="1:35" ht="14.25" x14ac:dyDescent="0.2">
      <c r="A301" s="20"/>
      <c r="B301" s="20"/>
      <c r="C301" s="20" t="s">
        <v>1019</v>
      </c>
      <c r="D301" s="22"/>
      <c r="E301" s="21"/>
      <c r="F301" s="24">
        <f>Source!AL142</f>
        <v>46</v>
      </c>
      <c r="G301" s="23" t="str">
        <f>Source!DD142</f>
        <v/>
      </c>
      <c r="H301" s="21">
        <f>Source!AW142</f>
        <v>1</v>
      </c>
      <c r="I301" s="24">
        <f>ROUND((ROUND((Source!AC142*Source!AW142*Source!I142),2)),2)</f>
        <v>15.64</v>
      </c>
      <c r="J301" s="21">
        <f>IF(Source!BC142&lt;&gt; 0, Source!BC142, 1)</f>
        <v>1.62</v>
      </c>
      <c r="K301" s="24">
        <f>Source!P142</f>
        <v>25.34</v>
      </c>
    </row>
    <row r="302" spans="1:35" ht="28.5" x14ac:dyDescent="0.2">
      <c r="A302" s="20" t="s">
        <v>353</v>
      </c>
      <c r="B302" s="20" t="str">
        <f>Source!F143</f>
        <v>1.1-1-1487</v>
      </c>
      <c r="C302" s="20" t="s">
        <v>141</v>
      </c>
      <c r="D302" s="22" t="str">
        <f>Source!H143</f>
        <v>т</v>
      </c>
      <c r="E302" s="21">
        <f>Source!I143</f>
        <v>9.8600000000000007E-3</v>
      </c>
      <c r="F302" s="24">
        <f>Source!AK143</f>
        <v>2278.84</v>
      </c>
      <c r="G302" s="33" t="s">
        <v>3</v>
      </c>
      <c r="H302" s="21">
        <f>Source!AW143</f>
        <v>1</v>
      </c>
      <c r="I302" s="24">
        <f>ROUND((ROUND((Source!AC143*Source!AW143*Source!I143),2)),2)+(ROUND((ROUND(((Source!ET143)*Source!AV143*Source!I143),2)),2)+ROUND((ROUND(((Source!AE143-(Source!EU143))*Source!AV143*Source!I143),2)),2))+ROUND((ROUND((Source!AF143*Source!AV143*Source!I143),2)),2)</f>
        <v>22.47</v>
      </c>
      <c r="J302" s="21">
        <f>IF(Source!BC143&lt;&gt; 0, Source!BC143, 1)</f>
        <v>8.33</v>
      </c>
      <c r="K302" s="24">
        <f>Source!O143</f>
        <v>187.18</v>
      </c>
      <c r="Q302">
        <f>ROUND((Source!DN143/100)*ROUND((ROUND((Source!AF143*Source!AV143*Source!I143),2)),2), 2)</f>
        <v>0</v>
      </c>
      <c r="R302">
        <f>Source!X143</f>
        <v>0</v>
      </c>
      <c r="S302">
        <f>ROUND((Source!DO143/100)*ROUND((ROUND((Source!AF143*Source!AV143*Source!I143),2)),2), 2)</f>
        <v>0</v>
      </c>
      <c r="T302">
        <f>Source!Y143</f>
        <v>0</v>
      </c>
      <c r="U302">
        <f>ROUND((175/100)*ROUND((ROUND((Source!AE143*Source!AV143*Source!I143),2)),2), 2)</f>
        <v>0</v>
      </c>
      <c r="V302">
        <f>ROUND((160/100)*ROUND(ROUND((ROUND((Source!AE143*Source!AV143*Source!I143),2)*Source!BS143),2), 2), 2)</f>
        <v>0</v>
      </c>
      <c r="X302">
        <f>IF(Source!BI143&lt;=1,I302, 0)</f>
        <v>22.47</v>
      </c>
      <c r="Y302">
        <f>IF(Source!BI143=2,I302, 0)</f>
        <v>0</v>
      </c>
      <c r="Z302">
        <f>IF(Source!BI143=3,I302, 0)</f>
        <v>0</v>
      </c>
      <c r="AA302">
        <f>IF(Source!BI143=4,I302, 0)</f>
        <v>0</v>
      </c>
      <c r="AI302">
        <v>3</v>
      </c>
    </row>
    <row r="303" spans="1:35" ht="14.25" x14ac:dyDescent="0.2">
      <c r="A303" s="20"/>
      <c r="B303" s="20"/>
      <c r="C303" s="20" t="s">
        <v>1010</v>
      </c>
      <c r="D303" s="22" t="s">
        <v>1011</v>
      </c>
      <c r="E303" s="21">
        <f>Source!DN142</f>
        <v>100</v>
      </c>
      <c r="F303" s="24"/>
      <c r="G303" s="23"/>
      <c r="H303" s="21"/>
      <c r="I303" s="24">
        <f>SUM(Q296:Q302)</f>
        <v>53.23</v>
      </c>
      <c r="J303" s="21">
        <f>Source!BZ142</f>
        <v>83</v>
      </c>
      <c r="K303" s="24">
        <f>SUM(R296:R302)</f>
        <v>1329.84</v>
      </c>
    </row>
    <row r="304" spans="1:35" ht="14.25" x14ac:dyDescent="0.2">
      <c r="A304" s="20"/>
      <c r="B304" s="20"/>
      <c r="C304" s="20" t="s">
        <v>1012</v>
      </c>
      <c r="D304" s="22" t="s">
        <v>1011</v>
      </c>
      <c r="E304" s="21">
        <f>Source!DO142</f>
        <v>64</v>
      </c>
      <c r="F304" s="24"/>
      <c r="G304" s="23"/>
      <c r="H304" s="21"/>
      <c r="I304" s="24">
        <f>SUM(S296:S303)</f>
        <v>34.07</v>
      </c>
      <c r="J304" s="21">
        <f>Source!CA142</f>
        <v>41</v>
      </c>
      <c r="K304" s="24">
        <f>SUM(T296:T303)</f>
        <v>656.91</v>
      </c>
    </row>
    <row r="305" spans="1:35" ht="14.25" x14ac:dyDescent="0.2">
      <c r="A305" s="20"/>
      <c r="B305" s="20"/>
      <c r="C305" s="20" t="s">
        <v>1018</v>
      </c>
      <c r="D305" s="22" t="s">
        <v>1011</v>
      </c>
      <c r="E305" s="21">
        <f>175</f>
        <v>175</v>
      </c>
      <c r="F305" s="24"/>
      <c r="G305" s="23"/>
      <c r="H305" s="21"/>
      <c r="I305" s="24">
        <f>SUM(U296:U304)</f>
        <v>0.28000000000000003</v>
      </c>
      <c r="J305" s="21">
        <f>160</f>
        <v>160</v>
      </c>
      <c r="K305" s="24">
        <f>SUM(V296:V304)</f>
        <v>7.71</v>
      </c>
    </row>
    <row r="306" spans="1:35" ht="14.25" x14ac:dyDescent="0.2">
      <c r="A306" s="26"/>
      <c r="B306" s="26"/>
      <c r="C306" s="26" t="s">
        <v>1013</v>
      </c>
      <c r="D306" s="27" t="s">
        <v>1014</v>
      </c>
      <c r="E306" s="28">
        <f>Source!AQ142</f>
        <v>10.9</v>
      </c>
      <c r="F306" s="29"/>
      <c r="G306" s="30" t="str">
        <f>Source!DI142</f>
        <v>)*1,15</v>
      </c>
      <c r="H306" s="28">
        <f>Source!AV142</f>
        <v>1</v>
      </c>
      <c r="I306" s="29">
        <f>Source!U142</f>
        <v>4.2619000000000007</v>
      </c>
      <c r="J306" s="28"/>
      <c r="K306" s="29"/>
      <c r="AB306" s="25">
        <f>I306</f>
        <v>4.2619000000000007</v>
      </c>
    </row>
    <row r="307" spans="1:35" ht="15" x14ac:dyDescent="0.25">
      <c r="C307" s="13" t="s">
        <v>1015</v>
      </c>
      <c r="H307" s="50">
        <f>I298+I299+I301+I303+I304+I305+SUM(I302:I302)</f>
        <v>179.98</v>
      </c>
      <c r="I307" s="50"/>
      <c r="J307" s="50">
        <f>K298+K299+K301+K303+K304+K305+SUM(K302:K302)</f>
        <v>3822.0299999999993</v>
      </c>
      <c r="K307" s="50"/>
      <c r="O307" s="25">
        <f>I298+I299+I301+I303+I304+I305+SUM(I302:I302)</f>
        <v>179.98</v>
      </c>
      <c r="P307" s="25">
        <f>K298+K299+K301+K303+K304+K305+SUM(K302:K302)</f>
        <v>3822.0299999999993</v>
      </c>
      <c r="X307">
        <f>IF(Source!BI142&lt;=1,I298+I299+I301+I303+I304+I305-0, 0)</f>
        <v>157.51</v>
      </c>
      <c r="Y307">
        <f>IF(Source!BI142=2,I298+I299+I301+I303+I304+I305-0, 0)</f>
        <v>0</v>
      </c>
      <c r="Z307">
        <f>IF(Source!BI142=3,I298+I299+I301+I303+I304+I305-0, 0)</f>
        <v>0</v>
      </c>
      <c r="AA307">
        <f>IF(Source!BI142=4,I298+I299+I301+I303+I304+I305,0)</f>
        <v>0</v>
      </c>
    </row>
    <row r="309" spans="1:35" ht="57" x14ac:dyDescent="0.2">
      <c r="A309" s="20">
        <v>22</v>
      </c>
      <c r="B309" s="20" t="str">
        <f>Source!F144</f>
        <v>3.15-176-3</v>
      </c>
      <c r="C309" s="20" t="s">
        <v>356</v>
      </c>
      <c r="D309" s="22" t="str">
        <f>Source!H144</f>
        <v>100 м2</v>
      </c>
      <c r="E309" s="21">
        <f>Source!I144</f>
        <v>0.34</v>
      </c>
      <c r="F309" s="24"/>
      <c r="G309" s="23"/>
      <c r="H309" s="21"/>
      <c r="I309" s="24"/>
      <c r="J309" s="21"/>
      <c r="K309" s="24"/>
      <c r="Q309">
        <f>ROUND((Source!DN144/100)*ROUND((ROUND((Source!AF144*Source!AV144*Source!I144),2)),2), 2)</f>
        <v>148.58000000000001</v>
      </c>
      <c r="R309">
        <f>Source!X144</f>
        <v>3711.98</v>
      </c>
      <c r="S309">
        <f>ROUND((Source!DO144/100)*ROUND((ROUND((Source!AF144*Source!AV144*Source!I144),2)),2), 2)</f>
        <v>95.09</v>
      </c>
      <c r="T309">
        <f>Source!Y144</f>
        <v>1833.63</v>
      </c>
      <c r="U309">
        <f>ROUND((175/100)*ROUND((ROUND((Source!AE144*Source!AV144*Source!I144),2)),2), 2)</f>
        <v>0.95</v>
      </c>
      <c r="V309">
        <f>ROUND((160/100)*ROUND(ROUND((ROUND((Source!AE144*Source!AV144*Source!I144),2)*Source!BS144),2), 2), 2)</f>
        <v>26</v>
      </c>
      <c r="AI309">
        <v>0</v>
      </c>
    </row>
    <row r="310" spans="1:35" x14ac:dyDescent="0.2">
      <c r="C310" s="31" t="str">
        <f>"Объем: "&amp;Source!I144&amp;"=34/"&amp;"100"</f>
        <v>Объем: 0,34=34/100</v>
      </c>
    </row>
    <row r="311" spans="1:35" ht="14.25" x14ac:dyDescent="0.2">
      <c r="A311" s="20"/>
      <c r="B311" s="20"/>
      <c r="C311" s="20" t="s">
        <v>1009</v>
      </c>
      <c r="D311" s="22"/>
      <c r="E311" s="21"/>
      <c r="F311" s="24">
        <f>Source!AO144</f>
        <v>380</v>
      </c>
      <c r="G311" s="23" t="str">
        <f>Source!DG144</f>
        <v>)*1,15</v>
      </c>
      <c r="H311" s="21">
        <f>Source!AV144</f>
        <v>1</v>
      </c>
      <c r="I311" s="24">
        <f>ROUND((ROUND((Source!AF144*Source!AV144*Source!I144),2)),2)</f>
        <v>148.58000000000001</v>
      </c>
      <c r="J311" s="21">
        <f>IF(Source!BA144&lt;&gt; 0, Source!BA144, 1)</f>
        <v>30.1</v>
      </c>
      <c r="K311" s="24">
        <f>Source!S144</f>
        <v>4472.26</v>
      </c>
      <c r="W311">
        <f>I311</f>
        <v>148.58000000000001</v>
      </c>
    </row>
    <row r="312" spans="1:35" ht="14.25" x14ac:dyDescent="0.2">
      <c r="A312" s="20"/>
      <c r="B312" s="20"/>
      <c r="C312" s="20" t="s">
        <v>1016</v>
      </c>
      <c r="D312" s="22"/>
      <c r="E312" s="21"/>
      <c r="F312" s="24">
        <f>Source!AM144</f>
        <v>8.31</v>
      </c>
      <c r="G312" s="23" t="str">
        <f>Source!DE144</f>
        <v>)*1,25</v>
      </c>
      <c r="H312" s="21">
        <f>Source!AV144</f>
        <v>1</v>
      </c>
      <c r="I312" s="24">
        <f>(ROUND((ROUND((((Source!ET144*1.25))*Source!AV144*Source!I144),2)),2)+ROUND((ROUND(((Source!AE144-((Source!EU144*1.25)))*Source!AV144*Source!I144),2)),2))</f>
        <v>3.53</v>
      </c>
      <c r="J312" s="21">
        <f>IF(Source!BB144&lt;&gt; 0, Source!BB144, 1)</f>
        <v>12.09</v>
      </c>
      <c r="K312" s="24">
        <f>Source!Q144</f>
        <v>42.68</v>
      </c>
    </row>
    <row r="313" spans="1:35" ht="14.25" x14ac:dyDescent="0.2">
      <c r="A313" s="20"/>
      <c r="B313" s="20"/>
      <c r="C313" s="20" t="s">
        <v>1017</v>
      </c>
      <c r="D313" s="22"/>
      <c r="E313" s="21"/>
      <c r="F313" s="24">
        <f>Source!AN144</f>
        <v>1.26</v>
      </c>
      <c r="G313" s="23" t="str">
        <f>Source!DF144</f>
        <v>)*1,25</v>
      </c>
      <c r="H313" s="21">
        <f>Source!AV144</f>
        <v>1</v>
      </c>
      <c r="I313" s="32">
        <f>ROUND((ROUND((Source!AE144*Source!AV144*Source!I144),2)),2)</f>
        <v>0.54</v>
      </c>
      <c r="J313" s="21">
        <f>IF(Source!BS144&lt;&gt; 0, Source!BS144, 1)</f>
        <v>30.1</v>
      </c>
      <c r="K313" s="32">
        <f>Source!R144</f>
        <v>16.25</v>
      </c>
      <c r="W313">
        <f>I313</f>
        <v>0.54</v>
      </c>
    </row>
    <row r="314" spans="1:35" ht="14.25" x14ac:dyDescent="0.2">
      <c r="A314" s="20"/>
      <c r="B314" s="20"/>
      <c r="C314" s="20" t="s">
        <v>1019</v>
      </c>
      <c r="D314" s="22"/>
      <c r="E314" s="21"/>
      <c r="F314" s="24">
        <f>Source!AL144</f>
        <v>157.63</v>
      </c>
      <c r="G314" s="23" t="str">
        <f>Source!DD144</f>
        <v/>
      </c>
      <c r="H314" s="21">
        <f>Source!AW144</f>
        <v>1</v>
      </c>
      <c r="I314" s="24">
        <f>ROUND((ROUND((Source!AC144*Source!AW144*Source!I144),2)),2)</f>
        <v>53.59</v>
      </c>
      <c r="J314" s="21">
        <f>IF(Source!BC144&lt;&gt; 0, Source!BC144, 1)</f>
        <v>2.3199999999999998</v>
      </c>
      <c r="K314" s="24">
        <f>Source!P144</f>
        <v>124.33</v>
      </c>
    </row>
    <row r="315" spans="1:35" ht="57" x14ac:dyDescent="0.2">
      <c r="A315" s="20" t="s">
        <v>358</v>
      </c>
      <c r="B315" s="20" t="str">
        <f>Source!F145</f>
        <v>1.1-1-2854</v>
      </c>
      <c r="C315" s="20" t="s">
        <v>57</v>
      </c>
      <c r="D315" s="22" t="str">
        <f>Source!H145</f>
        <v>кг</v>
      </c>
      <c r="E315" s="21">
        <f>Source!I145</f>
        <v>6.7999999999999989</v>
      </c>
      <c r="F315" s="24">
        <f>Source!AK145</f>
        <v>28.98</v>
      </c>
      <c r="G315" s="33" t="s">
        <v>3</v>
      </c>
      <c r="H315" s="21">
        <f>Source!AW145</f>
        <v>1</v>
      </c>
      <c r="I315" s="24">
        <f>ROUND((ROUND((Source!AC145*Source!AW145*Source!I145),2)),2)+(ROUND((ROUND(((Source!ET145)*Source!AV145*Source!I145),2)),2)+ROUND((ROUND(((Source!AE145-(Source!EU145))*Source!AV145*Source!I145),2)),2))+ROUND((ROUND((Source!AF145*Source!AV145*Source!I145),2)),2)</f>
        <v>197.06</v>
      </c>
      <c r="J315" s="21">
        <f>IF(Source!BC145&lt;&gt; 0, Source!BC145, 1)</f>
        <v>3.58</v>
      </c>
      <c r="K315" s="24">
        <f>Source!O145</f>
        <v>705.47</v>
      </c>
      <c r="Q315">
        <f>ROUND((Source!DN145/100)*ROUND((ROUND((Source!AF145*Source!AV145*Source!I145),2)),2), 2)</f>
        <v>0</v>
      </c>
      <c r="R315">
        <f>Source!X145</f>
        <v>0</v>
      </c>
      <c r="S315">
        <f>ROUND((Source!DO145/100)*ROUND((ROUND((Source!AF145*Source!AV145*Source!I145),2)),2), 2)</f>
        <v>0</v>
      </c>
      <c r="T315">
        <f>Source!Y145</f>
        <v>0</v>
      </c>
      <c r="U315">
        <f>ROUND((175/100)*ROUND((ROUND((Source!AE145*Source!AV145*Source!I145),2)),2), 2)</f>
        <v>0</v>
      </c>
      <c r="V315">
        <f>ROUND((160/100)*ROUND(ROUND((ROUND((Source!AE145*Source!AV145*Source!I145),2)*Source!BS145),2), 2), 2)</f>
        <v>0</v>
      </c>
      <c r="X315">
        <f>IF(Source!BI145&lt;=1,I315, 0)</f>
        <v>197.06</v>
      </c>
      <c r="Y315">
        <f>IF(Source!BI145=2,I315, 0)</f>
        <v>0</v>
      </c>
      <c r="Z315">
        <f>IF(Source!BI145=3,I315, 0)</f>
        <v>0</v>
      </c>
      <c r="AA315">
        <f>IF(Source!BI145=4,I315, 0)</f>
        <v>0</v>
      </c>
      <c r="AI315">
        <v>3</v>
      </c>
    </row>
    <row r="316" spans="1:35" ht="213.75" x14ac:dyDescent="0.2">
      <c r="A316" s="20" t="s">
        <v>359</v>
      </c>
      <c r="B316" s="20" t="str">
        <f>Source!F146</f>
        <v>1.1-1-3932</v>
      </c>
      <c r="C316" s="20" t="s">
        <v>976</v>
      </c>
      <c r="D316" s="22" t="str">
        <f>Source!H146</f>
        <v>кг</v>
      </c>
      <c r="E316" s="21">
        <f>Source!I146</f>
        <v>10.199999999999999</v>
      </c>
      <c r="F316" s="24">
        <f>Source!AK146</f>
        <v>108.25</v>
      </c>
      <c r="G316" s="33" t="s">
        <v>3</v>
      </c>
      <c r="H316" s="21">
        <f>Source!AW146</f>
        <v>1</v>
      </c>
      <c r="I316" s="24">
        <f>ROUND((ROUND((Source!AC146*Source!AW146*Source!I146),2)),2)+(ROUND((ROUND(((Source!ET146)*Source!AV146*Source!I146),2)),2)+ROUND((ROUND(((Source!AE146-(Source!EU146))*Source!AV146*Source!I146),2)),2))+ROUND((ROUND((Source!AF146*Source!AV146*Source!I146),2)),2)</f>
        <v>1104.1500000000001</v>
      </c>
      <c r="J316" s="21">
        <f>IF(Source!BC146&lt;&gt; 0, Source!BC146, 1)</f>
        <v>4.74</v>
      </c>
      <c r="K316" s="24">
        <f>Source!O146</f>
        <v>5233.67</v>
      </c>
      <c r="Q316">
        <f>ROUND((Source!DN146/100)*ROUND((ROUND((Source!AF146*Source!AV146*Source!I146),2)),2), 2)</f>
        <v>0</v>
      </c>
      <c r="R316">
        <f>Source!X146</f>
        <v>0</v>
      </c>
      <c r="S316">
        <f>ROUND((Source!DO146/100)*ROUND((ROUND((Source!AF146*Source!AV146*Source!I146),2)),2), 2)</f>
        <v>0</v>
      </c>
      <c r="T316">
        <f>Source!Y146</f>
        <v>0</v>
      </c>
      <c r="U316">
        <f>ROUND((175/100)*ROUND((ROUND((Source!AE146*Source!AV146*Source!I146),2)),2), 2)</f>
        <v>0</v>
      </c>
      <c r="V316">
        <f>ROUND((160/100)*ROUND(ROUND((ROUND((Source!AE146*Source!AV146*Source!I146),2)*Source!BS146),2), 2), 2)</f>
        <v>0</v>
      </c>
      <c r="X316">
        <f>IF(Source!BI146&lt;=1,I316, 0)</f>
        <v>1104.1500000000001</v>
      </c>
      <c r="Y316">
        <f>IF(Source!BI146=2,I316, 0)</f>
        <v>0</v>
      </c>
      <c r="Z316">
        <f>IF(Source!BI146=3,I316, 0)</f>
        <v>0</v>
      </c>
      <c r="AA316">
        <f>IF(Source!BI146=4,I316, 0)</f>
        <v>0</v>
      </c>
      <c r="AI316">
        <v>3</v>
      </c>
    </row>
    <row r="317" spans="1:35" ht="14.25" x14ac:dyDescent="0.2">
      <c r="A317" s="20"/>
      <c r="B317" s="20"/>
      <c r="C317" s="20" t="s">
        <v>1010</v>
      </c>
      <c r="D317" s="22" t="s">
        <v>1011</v>
      </c>
      <c r="E317" s="21">
        <f>Source!DN144</f>
        <v>100</v>
      </c>
      <c r="F317" s="24"/>
      <c r="G317" s="23"/>
      <c r="H317" s="21"/>
      <c r="I317" s="24">
        <f>SUM(Q309:Q316)</f>
        <v>148.58000000000001</v>
      </c>
      <c r="J317" s="21">
        <f>Source!BZ144</f>
        <v>83</v>
      </c>
      <c r="K317" s="24">
        <f>SUM(R309:R316)</f>
        <v>3711.98</v>
      </c>
    </row>
    <row r="318" spans="1:35" ht="14.25" x14ac:dyDescent="0.2">
      <c r="A318" s="20"/>
      <c r="B318" s="20"/>
      <c r="C318" s="20" t="s">
        <v>1012</v>
      </c>
      <c r="D318" s="22" t="s">
        <v>1011</v>
      </c>
      <c r="E318" s="21">
        <f>Source!DO144</f>
        <v>64</v>
      </c>
      <c r="F318" s="24"/>
      <c r="G318" s="23"/>
      <c r="H318" s="21"/>
      <c r="I318" s="24">
        <f>SUM(S309:S317)</f>
        <v>95.09</v>
      </c>
      <c r="J318" s="21">
        <f>Source!CA144</f>
        <v>41</v>
      </c>
      <c r="K318" s="24">
        <f>SUM(T309:T317)</f>
        <v>1833.63</v>
      </c>
    </row>
    <row r="319" spans="1:35" ht="14.25" x14ac:dyDescent="0.2">
      <c r="A319" s="20"/>
      <c r="B319" s="20"/>
      <c r="C319" s="20" t="s">
        <v>1018</v>
      </c>
      <c r="D319" s="22" t="s">
        <v>1011</v>
      </c>
      <c r="E319" s="21">
        <f>175</f>
        <v>175</v>
      </c>
      <c r="F319" s="24"/>
      <c r="G319" s="23"/>
      <c r="H319" s="21"/>
      <c r="I319" s="24">
        <f>SUM(U309:U318)</f>
        <v>0.95</v>
      </c>
      <c r="J319" s="21">
        <f>160</f>
        <v>160</v>
      </c>
      <c r="K319" s="24">
        <f>SUM(V309:V318)</f>
        <v>26</v>
      </c>
    </row>
    <row r="320" spans="1:35" ht="14.25" x14ac:dyDescent="0.2">
      <c r="A320" s="26"/>
      <c r="B320" s="26"/>
      <c r="C320" s="26" t="s">
        <v>1013</v>
      </c>
      <c r="D320" s="27" t="s">
        <v>1014</v>
      </c>
      <c r="E320" s="28">
        <f>Source!AQ144</f>
        <v>32.729999999999997</v>
      </c>
      <c r="F320" s="29"/>
      <c r="G320" s="30" t="str">
        <f>Source!DI144</f>
        <v>)*1,15</v>
      </c>
      <c r="H320" s="28">
        <f>Source!AV144</f>
        <v>1</v>
      </c>
      <c r="I320" s="29">
        <f>Source!U144</f>
        <v>12.797429999999999</v>
      </c>
      <c r="J320" s="28"/>
      <c r="K320" s="29"/>
      <c r="AB320" s="25">
        <f>I320</f>
        <v>12.797429999999999</v>
      </c>
    </row>
    <row r="321" spans="1:35" ht="15" x14ac:dyDescent="0.25">
      <c r="C321" s="13" t="s">
        <v>1015</v>
      </c>
      <c r="H321" s="50">
        <f>I311+I312+I314+I317+I318+I319+SUM(I315:I316)</f>
        <v>1751.53</v>
      </c>
      <c r="I321" s="50"/>
      <c r="J321" s="50">
        <f>K311+K312+K314+K317+K318+K319+SUM(K315:K316)</f>
        <v>16150.02</v>
      </c>
      <c r="K321" s="50"/>
      <c r="O321" s="25">
        <f>I311+I312+I314+I317+I318+I319+SUM(I315:I316)</f>
        <v>1751.53</v>
      </c>
      <c r="P321" s="25">
        <f>K311+K312+K314+K317+K318+K319+SUM(K315:K316)</f>
        <v>16150.02</v>
      </c>
      <c r="X321">
        <f>IF(Source!BI144&lt;=1,I311+I312+I314+I317+I318+I319-0, 0)</f>
        <v>450.32</v>
      </c>
      <c r="Y321">
        <f>IF(Source!BI144=2,I311+I312+I314+I317+I318+I319-0, 0)</f>
        <v>0</v>
      </c>
      <c r="Z321">
        <f>IF(Source!BI144=3,I311+I312+I314+I317+I318+I319-0, 0)</f>
        <v>0</v>
      </c>
      <c r="AA321">
        <f>IF(Source!BI144=4,I311+I312+I314+I317+I318+I319,0)</f>
        <v>0</v>
      </c>
    </row>
    <row r="324" spans="1:35" ht="15" x14ac:dyDescent="0.25">
      <c r="A324" s="54" t="str">
        <f>CONCATENATE("Итого по разделу: ",IF(Source!G158&lt;&gt;"Новый раздел", Source!G158, ""))</f>
        <v>Итого по разделу: Стены</v>
      </c>
      <c r="B324" s="54"/>
      <c r="C324" s="54"/>
      <c r="D324" s="54"/>
      <c r="E324" s="54"/>
      <c r="F324" s="54"/>
      <c r="G324" s="54"/>
      <c r="H324" s="52">
        <f>SUM(O142:O323)</f>
        <v>47932.659999999996</v>
      </c>
      <c r="I324" s="53"/>
      <c r="J324" s="52">
        <f>SUM(P142:P323)</f>
        <v>677226.01</v>
      </c>
      <c r="K324" s="53"/>
    </row>
    <row r="325" spans="1:35" hidden="1" x14ac:dyDescent="0.2">
      <c r="A325" t="s">
        <v>1020</v>
      </c>
      <c r="H325">
        <f>SUM(AC142:AC324)</f>
        <v>0</v>
      </c>
      <c r="J325">
        <f>SUM(AD142:AD324)</f>
        <v>0</v>
      </c>
    </row>
    <row r="326" spans="1:35" hidden="1" x14ac:dyDescent="0.2">
      <c r="A326" t="s">
        <v>1021</v>
      </c>
      <c r="H326">
        <f>SUM(AE142:AE325)</f>
        <v>0</v>
      </c>
      <c r="J326">
        <f>SUM(AF142:AF325)</f>
        <v>0</v>
      </c>
    </row>
    <row r="328" spans="1:35" ht="16.5" x14ac:dyDescent="0.25">
      <c r="A328" s="43" t="str">
        <f>CONCATENATE("Раздел: ",IF(Source!G188&lt;&gt;"Новый раздел", Source!G188, ""))</f>
        <v>Раздел: Полы</v>
      </c>
      <c r="B328" s="43"/>
      <c r="C328" s="43"/>
      <c r="D328" s="43"/>
      <c r="E328" s="43"/>
      <c r="F328" s="43"/>
      <c r="G328" s="43"/>
      <c r="H328" s="43"/>
      <c r="I328" s="43"/>
      <c r="J328" s="43"/>
      <c r="K328" s="43"/>
    </row>
    <row r="330" spans="1:35" ht="15" x14ac:dyDescent="0.25">
      <c r="B330" s="51" t="str">
        <f>Source!G192</f>
        <v>Демонтаж</v>
      </c>
      <c r="C330" s="51"/>
      <c r="D330" s="51"/>
      <c r="E330" s="51"/>
      <c r="F330" s="51"/>
      <c r="G330" s="51"/>
      <c r="H330" s="51"/>
      <c r="I330" s="51"/>
      <c r="J330" s="51"/>
    </row>
    <row r="331" spans="1:35" ht="28.5" x14ac:dyDescent="0.2">
      <c r="A331" s="20">
        <v>23</v>
      </c>
      <c r="B331" s="20" t="str">
        <f>Source!F193</f>
        <v>6.57-2-5</v>
      </c>
      <c r="C331" s="20" t="s">
        <v>376</v>
      </c>
      <c r="D331" s="22" t="str">
        <f>Source!H193</f>
        <v>100 м2 покрытия</v>
      </c>
      <c r="E331" s="21">
        <f>Source!I193</f>
        <v>1.2</v>
      </c>
      <c r="F331" s="24"/>
      <c r="G331" s="23"/>
      <c r="H331" s="21"/>
      <c r="I331" s="24"/>
      <c r="J331" s="21"/>
      <c r="K331" s="24"/>
      <c r="Q331">
        <f>ROUND((Source!DN193/100)*ROUND((ROUND((Source!AF193*Source!AV193*Source!I193),2)),2), 2)</f>
        <v>111.75</v>
      </c>
      <c r="R331">
        <f>Source!X193</f>
        <v>2943.27</v>
      </c>
      <c r="S331">
        <f>ROUND((Source!DO193/100)*ROUND((ROUND((Source!AF193*Source!AV193*Source!I193),2)),2), 2)</f>
        <v>76.83</v>
      </c>
      <c r="T331">
        <f>Source!Y193</f>
        <v>1723.91</v>
      </c>
      <c r="U331">
        <f>ROUND((175/100)*ROUND((ROUND((Source!AE193*Source!AV193*Source!I193),2)),2), 2)</f>
        <v>0</v>
      </c>
      <c r="V331">
        <f>ROUND((160/100)*ROUND(ROUND((ROUND((Source!AE193*Source!AV193*Source!I193),2)*Source!BS193),2), 2), 2)</f>
        <v>0</v>
      </c>
      <c r="AI331">
        <v>0</v>
      </c>
    </row>
    <row r="332" spans="1:35" x14ac:dyDescent="0.2">
      <c r="C332" s="31" t="str">
        <f>"Объем: "&amp;Source!I193&amp;"=120/"&amp;"100"</f>
        <v>Объем: 1,2=120/100</v>
      </c>
    </row>
    <row r="333" spans="1:35" ht="14.25" x14ac:dyDescent="0.2">
      <c r="A333" s="20"/>
      <c r="B333" s="20"/>
      <c r="C333" s="20" t="s">
        <v>1009</v>
      </c>
      <c r="D333" s="22"/>
      <c r="E333" s="21"/>
      <c r="F333" s="24">
        <f>Source!AO193</f>
        <v>116.41</v>
      </c>
      <c r="G333" s="23" t="str">
        <f>Source!DG193</f>
        <v/>
      </c>
      <c r="H333" s="21">
        <f>Source!AV193</f>
        <v>1</v>
      </c>
      <c r="I333" s="24">
        <f>ROUND((ROUND((Source!AF193*Source!AV193*Source!I193),2)),2)</f>
        <v>139.69</v>
      </c>
      <c r="J333" s="21">
        <f>IF(Source!BA193&lt;&gt; 0, Source!BA193, 1)</f>
        <v>30.1</v>
      </c>
      <c r="K333" s="24">
        <f>Source!S193</f>
        <v>4204.67</v>
      </c>
      <c r="W333">
        <f>I333</f>
        <v>139.69</v>
      </c>
    </row>
    <row r="334" spans="1:35" ht="14.25" x14ac:dyDescent="0.2">
      <c r="A334" s="20"/>
      <c r="B334" s="20"/>
      <c r="C334" s="20" t="s">
        <v>1010</v>
      </c>
      <c r="D334" s="22" t="s">
        <v>1011</v>
      </c>
      <c r="E334" s="21">
        <f>Source!DN193</f>
        <v>80</v>
      </c>
      <c r="F334" s="24"/>
      <c r="G334" s="23"/>
      <c r="H334" s="21"/>
      <c r="I334" s="24">
        <f>SUM(Q331:Q333)</f>
        <v>111.75</v>
      </c>
      <c r="J334" s="21">
        <f>Source!BZ193</f>
        <v>70</v>
      </c>
      <c r="K334" s="24">
        <f>SUM(R331:R333)</f>
        <v>2943.27</v>
      </c>
    </row>
    <row r="335" spans="1:35" ht="14.25" x14ac:dyDescent="0.2">
      <c r="A335" s="20"/>
      <c r="B335" s="20"/>
      <c r="C335" s="20" t="s">
        <v>1012</v>
      </c>
      <c r="D335" s="22" t="s">
        <v>1011</v>
      </c>
      <c r="E335" s="21">
        <f>Source!DO193</f>
        <v>55</v>
      </c>
      <c r="F335" s="24"/>
      <c r="G335" s="23"/>
      <c r="H335" s="21"/>
      <c r="I335" s="24">
        <f>SUM(S331:S334)</f>
        <v>76.83</v>
      </c>
      <c r="J335" s="21">
        <f>Source!CA193</f>
        <v>41</v>
      </c>
      <c r="K335" s="24">
        <f>SUM(T331:T334)</f>
        <v>1723.91</v>
      </c>
    </row>
    <row r="336" spans="1:35" ht="14.25" x14ac:dyDescent="0.2">
      <c r="A336" s="26"/>
      <c r="B336" s="26"/>
      <c r="C336" s="26" t="s">
        <v>1013</v>
      </c>
      <c r="D336" s="27" t="s">
        <v>1014</v>
      </c>
      <c r="E336" s="28">
        <f>Source!AQ193</f>
        <v>11.39</v>
      </c>
      <c r="F336" s="29"/>
      <c r="G336" s="30" t="str">
        <f>Source!DI193</f>
        <v/>
      </c>
      <c r="H336" s="28">
        <f>Source!AV193</f>
        <v>1</v>
      </c>
      <c r="I336" s="29">
        <f>Source!U193</f>
        <v>13.668000000000001</v>
      </c>
      <c r="J336" s="28"/>
      <c r="K336" s="29"/>
      <c r="AB336" s="25">
        <f>I336</f>
        <v>13.668000000000001</v>
      </c>
    </row>
    <row r="337" spans="1:35" ht="15" x14ac:dyDescent="0.25">
      <c r="C337" s="13" t="s">
        <v>1015</v>
      </c>
      <c r="H337" s="50">
        <f>I333+I334+I335+0</f>
        <v>328.27</v>
      </c>
      <c r="I337" s="50"/>
      <c r="J337" s="50">
        <f>K333+K334+K335+0</f>
        <v>8871.85</v>
      </c>
      <c r="K337" s="50"/>
      <c r="O337" s="25">
        <f>I333+I334+I335+0</f>
        <v>328.27</v>
      </c>
      <c r="P337" s="25">
        <f>K333+K334+K335+0</f>
        <v>8871.85</v>
      </c>
      <c r="X337">
        <f>IF(Source!BI193&lt;=1,I333+I334+I335-0, 0)</f>
        <v>328.27</v>
      </c>
      <c r="Y337">
        <f>IF(Source!BI193=2,I333+I334+I335-0, 0)</f>
        <v>0</v>
      </c>
      <c r="Z337">
        <f>IF(Source!BI193=3,I333+I334+I335-0, 0)</f>
        <v>0</v>
      </c>
      <c r="AA337">
        <f>IF(Source!BI193=4,I333+I334+I335,0)</f>
        <v>0</v>
      </c>
    </row>
    <row r="339" spans="1:35" ht="42.75" x14ac:dyDescent="0.2">
      <c r="A339" s="20">
        <v>24</v>
      </c>
      <c r="B339" s="20" t="str">
        <f>Source!F194</f>
        <v>6.57-3-1</v>
      </c>
      <c r="C339" s="20" t="s">
        <v>383</v>
      </c>
      <c r="D339" s="22" t="str">
        <f>Source!H194</f>
        <v>100 М ПЛИНТУСОВ</v>
      </c>
      <c r="E339" s="21">
        <f>Source!I194</f>
        <v>1.5</v>
      </c>
      <c r="F339" s="24"/>
      <c r="G339" s="23"/>
      <c r="H339" s="21"/>
      <c r="I339" s="24"/>
      <c r="J339" s="21"/>
      <c r="K339" s="24"/>
      <c r="Q339">
        <f>ROUND((Source!DN194/100)*ROUND((ROUND((Source!AF194*Source!AV194*Source!I194),2)),2), 2)</f>
        <v>46.24</v>
      </c>
      <c r="R339">
        <f>Source!X194</f>
        <v>1217.8499999999999</v>
      </c>
      <c r="S339">
        <f>ROUND((Source!DO194/100)*ROUND((ROUND((Source!AF194*Source!AV194*Source!I194),2)),2), 2)</f>
        <v>31.79</v>
      </c>
      <c r="T339">
        <f>Source!Y194</f>
        <v>713.31</v>
      </c>
      <c r="U339">
        <f>ROUND((175/100)*ROUND((ROUND((Source!AE194*Source!AV194*Source!I194),2)),2), 2)</f>
        <v>0</v>
      </c>
      <c r="V339">
        <f>ROUND((160/100)*ROUND(ROUND((ROUND((Source!AE194*Source!AV194*Source!I194),2)*Source!BS194),2), 2), 2)</f>
        <v>0</v>
      </c>
      <c r="AI339">
        <v>0</v>
      </c>
    </row>
    <row r="340" spans="1:35" x14ac:dyDescent="0.2">
      <c r="C340" s="31" t="str">
        <f>"Объем: "&amp;Source!I194&amp;"=150/"&amp;"100"</f>
        <v>Объем: 1,5=150/100</v>
      </c>
    </row>
    <row r="341" spans="1:35" ht="14.25" x14ac:dyDescent="0.2">
      <c r="A341" s="20"/>
      <c r="B341" s="20"/>
      <c r="C341" s="20" t="s">
        <v>1009</v>
      </c>
      <c r="D341" s="22"/>
      <c r="E341" s="21"/>
      <c r="F341" s="24">
        <f>Source!AO194</f>
        <v>38.53</v>
      </c>
      <c r="G341" s="23" t="str">
        <f>Source!DG194</f>
        <v/>
      </c>
      <c r="H341" s="21">
        <f>Source!AV194</f>
        <v>1</v>
      </c>
      <c r="I341" s="24">
        <f>ROUND((ROUND((Source!AF194*Source!AV194*Source!I194),2)),2)</f>
        <v>57.8</v>
      </c>
      <c r="J341" s="21">
        <f>IF(Source!BA194&lt;&gt; 0, Source!BA194, 1)</f>
        <v>30.1</v>
      </c>
      <c r="K341" s="24">
        <f>Source!S194</f>
        <v>1739.78</v>
      </c>
      <c r="W341">
        <f>I341</f>
        <v>57.8</v>
      </c>
    </row>
    <row r="342" spans="1:35" ht="14.25" x14ac:dyDescent="0.2">
      <c r="A342" s="20"/>
      <c r="B342" s="20"/>
      <c r="C342" s="20" t="s">
        <v>1010</v>
      </c>
      <c r="D342" s="22" t="s">
        <v>1011</v>
      </c>
      <c r="E342" s="21">
        <f>Source!DN194</f>
        <v>80</v>
      </c>
      <c r="F342" s="24"/>
      <c r="G342" s="23"/>
      <c r="H342" s="21"/>
      <c r="I342" s="24">
        <f>SUM(Q339:Q341)</f>
        <v>46.24</v>
      </c>
      <c r="J342" s="21">
        <f>Source!BZ194</f>
        <v>70</v>
      </c>
      <c r="K342" s="24">
        <f>SUM(R339:R341)</f>
        <v>1217.8499999999999</v>
      </c>
    </row>
    <row r="343" spans="1:35" ht="14.25" x14ac:dyDescent="0.2">
      <c r="A343" s="20"/>
      <c r="B343" s="20"/>
      <c r="C343" s="20" t="s">
        <v>1012</v>
      </c>
      <c r="D343" s="22" t="s">
        <v>1011</v>
      </c>
      <c r="E343" s="21">
        <f>Source!DO194</f>
        <v>55</v>
      </c>
      <c r="F343" s="24"/>
      <c r="G343" s="23"/>
      <c r="H343" s="21"/>
      <c r="I343" s="24">
        <f>SUM(S339:S342)</f>
        <v>31.79</v>
      </c>
      <c r="J343" s="21">
        <f>Source!CA194</f>
        <v>41</v>
      </c>
      <c r="K343" s="24">
        <f>SUM(T339:T342)</f>
        <v>713.31</v>
      </c>
    </row>
    <row r="344" spans="1:35" ht="14.25" x14ac:dyDescent="0.2">
      <c r="A344" s="26"/>
      <c r="B344" s="26"/>
      <c r="C344" s="26" t="s">
        <v>1013</v>
      </c>
      <c r="D344" s="27" t="s">
        <v>1014</v>
      </c>
      <c r="E344" s="28">
        <f>Source!AQ194</f>
        <v>3.77</v>
      </c>
      <c r="F344" s="29"/>
      <c r="G344" s="30" t="str">
        <f>Source!DI194</f>
        <v/>
      </c>
      <c r="H344" s="28">
        <f>Source!AV194</f>
        <v>1</v>
      </c>
      <c r="I344" s="29">
        <f>Source!U194</f>
        <v>5.6550000000000002</v>
      </c>
      <c r="J344" s="28"/>
      <c r="K344" s="29"/>
      <c r="AB344" s="25">
        <f>I344</f>
        <v>5.6550000000000002</v>
      </c>
    </row>
    <row r="345" spans="1:35" ht="15" x14ac:dyDescent="0.25">
      <c r="C345" s="13" t="s">
        <v>1015</v>
      </c>
      <c r="H345" s="50">
        <f>I341+I342+I343+0</f>
        <v>135.82999999999998</v>
      </c>
      <c r="I345" s="50"/>
      <c r="J345" s="50">
        <f>K341+K342+K343+0</f>
        <v>3670.94</v>
      </c>
      <c r="K345" s="50"/>
      <c r="O345" s="25">
        <f>I341+I342+I343+0</f>
        <v>135.82999999999998</v>
      </c>
      <c r="P345" s="25">
        <f>K341+K342+K343+0</f>
        <v>3670.94</v>
      </c>
      <c r="X345">
        <f>IF(Source!BI194&lt;=1,I341+I342+I343-0, 0)</f>
        <v>135.82999999999998</v>
      </c>
      <c r="Y345">
        <f>IF(Source!BI194=2,I341+I342+I343-0, 0)</f>
        <v>0</v>
      </c>
      <c r="Z345">
        <f>IF(Source!BI194=3,I341+I342+I343-0, 0)</f>
        <v>0</v>
      </c>
      <c r="AA345">
        <f>IF(Source!BI194=4,I341+I342+I343,0)</f>
        <v>0</v>
      </c>
    </row>
    <row r="347" spans="1:35" ht="28.5" x14ac:dyDescent="0.2">
      <c r="A347" s="20">
        <v>25</v>
      </c>
      <c r="B347" s="20" t="str">
        <f>Source!F195</f>
        <v>6.57-2-7</v>
      </c>
      <c r="C347" s="20" t="s">
        <v>388</v>
      </c>
      <c r="D347" s="22" t="str">
        <f>Source!H195</f>
        <v>100 м2 покрытия</v>
      </c>
      <c r="E347" s="21">
        <f>Source!I195</f>
        <v>1.5</v>
      </c>
      <c r="F347" s="24"/>
      <c r="G347" s="23"/>
      <c r="H347" s="21"/>
      <c r="I347" s="24"/>
      <c r="J347" s="21"/>
      <c r="K347" s="24"/>
      <c r="Q347">
        <f>ROUND((Source!DN195/100)*ROUND((ROUND((Source!AF195*Source!AV195*Source!I195),2)),2), 2)</f>
        <v>562.42999999999995</v>
      </c>
      <c r="R347">
        <f>Source!X195</f>
        <v>14813.05</v>
      </c>
      <c r="S347">
        <f>ROUND((Source!DO195/100)*ROUND((ROUND((Source!AF195*Source!AV195*Source!I195),2)),2), 2)</f>
        <v>386.67</v>
      </c>
      <c r="T347">
        <f>Source!Y195</f>
        <v>8676.2199999999993</v>
      </c>
      <c r="U347">
        <f>ROUND((175/100)*ROUND((ROUND((Source!AE195*Source!AV195*Source!I195),2)),2), 2)</f>
        <v>28.61</v>
      </c>
      <c r="V347">
        <f>ROUND((160/100)*ROUND(ROUND((ROUND((Source!AE195*Source!AV195*Source!I195),2)*Source!BS195),2), 2), 2)</f>
        <v>787.42</v>
      </c>
      <c r="AI347">
        <v>0</v>
      </c>
    </row>
    <row r="348" spans="1:35" x14ac:dyDescent="0.2">
      <c r="C348" s="31" t="str">
        <f>"Объем: "&amp;Source!I195&amp;"=150/"&amp;"100"</f>
        <v>Объем: 1,5=150/100</v>
      </c>
    </row>
    <row r="349" spans="1:35" ht="14.25" x14ac:dyDescent="0.2">
      <c r="A349" s="20"/>
      <c r="B349" s="20"/>
      <c r="C349" s="20" t="s">
        <v>1009</v>
      </c>
      <c r="D349" s="22"/>
      <c r="E349" s="21"/>
      <c r="F349" s="24">
        <f>Source!AO195</f>
        <v>781.15</v>
      </c>
      <c r="G349" s="23" t="str">
        <f>Source!DG195</f>
        <v>)*0,6</v>
      </c>
      <c r="H349" s="21">
        <f>Source!AV195</f>
        <v>1</v>
      </c>
      <c r="I349" s="24">
        <f>ROUND((ROUND((Source!AF195*Source!AV195*Source!I195),2)),2)</f>
        <v>703.04</v>
      </c>
      <c r="J349" s="21">
        <f>IF(Source!BA195&lt;&gt; 0, Source!BA195, 1)</f>
        <v>30.1</v>
      </c>
      <c r="K349" s="24">
        <f>Source!S195</f>
        <v>21161.5</v>
      </c>
      <c r="W349">
        <f>I349</f>
        <v>703.04</v>
      </c>
    </row>
    <row r="350" spans="1:35" ht="14.25" x14ac:dyDescent="0.2">
      <c r="A350" s="20"/>
      <c r="B350" s="20"/>
      <c r="C350" s="20" t="s">
        <v>1016</v>
      </c>
      <c r="D350" s="22"/>
      <c r="E350" s="21"/>
      <c r="F350" s="24">
        <f>Source!AM195</f>
        <v>50.37</v>
      </c>
      <c r="G350" s="23" t="str">
        <f>Source!DE195</f>
        <v>)*0,6</v>
      </c>
      <c r="H350" s="21">
        <f>Source!AV195</f>
        <v>1</v>
      </c>
      <c r="I350" s="24">
        <f>(ROUND((ROUND((((Source!ET195*0.6))*Source!AV195*Source!I195),2)),2)+ROUND((ROUND(((Source!AE195-((Source!EU195*0.6)))*Source!AV195*Source!I195),2)),2))</f>
        <v>45.33</v>
      </c>
      <c r="J350" s="21">
        <f>IF(Source!BB195&lt;&gt; 0, Source!BB195, 1)</f>
        <v>17.239999999999998</v>
      </c>
      <c r="K350" s="24">
        <f>Source!Q195</f>
        <v>781.49</v>
      </c>
    </row>
    <row r="351" spans="1:35" ht="14.25" x14ac:dyDescent="0.2">
      <c r="A351" s="20"/>
      <c r="B351" s="20"/>
      <c r="C351" s="20" t="s">
        <v>1017</v>
      </c>
      <c r="D351" s="22"/>
      <c r="E351" s="21"/>
      <c r="F351" s="24">
        <f>Source!AN195</f>
        <v>18.170000000000002</v>
      </c>
      <c r="G351" s="23" t="str">
        <f>Source!DF195</f>
        <v>)*0,6</v>
      </c>
      <c r="H351" s="21">
        <f>Source!AV195</f>
        <v>1</v>
      </c>
      <c r="I351" s="32">
        <f>ROUND((ROUND((Source!AE195*Source!AV195*Source!I195),2)),2)</f>
        <v>16.350000000000001</v>
      </c>
      <c r="J351" s="21">
        <f>IF(Source!BS195&lt;&gt; 0, Source!BS195, 1)</f>
        <v>30.1</v>
      </c>
      <c r="K351" s="32">
        <f>Source!R195</f>
        <v>492.14</v>
      </c>
      <c r="W351">
        <f>I351</f>
        <v>16.350000000000001</v>
      </c>
    </row>
    <row r="352" spans="1:35" ht="14.25" x14ac:dyDescent="0.2">
      <c r="A352" s="20"/>
      <c r="B352" s="20"/>
      <c r="C352" s="20" t="s">
        <v>1010</v>
      </c>
      <c r="D352" s="22" t="s">
        <v>1011</v>
      </c>
      <c r="E352" s="21">
        <f>Source!DN195</f>
        <v>80</v>
      </c>
      <c r="F352" s="24"/>
      <c r="G352" s="23"/>
      <c r="H352" s="21"/>
      <c r="I352" s="24">
        <f>SUM(Q347:Q351)</f>
        <v>562.42999999999995</v>
      </c>
      <c r="J352" s="21">
        <f>Source!BZ195</f>
        <v>70</v>
      </c>
      <c r="K352" s="24">
        <f>SUM(R347:R351)</f>
        <v>14813.05</v>
      </c>
    </row>
    <row r="353" spans="1:35" ht="14.25" x14ac:dyDescent="0.2">
      <c r="A353" s="20"/>
      <c r="B353" s="20"/>
      <c r="C353" s="20" t="s">
        <v>1012</v>
      </c>
      <c r="D353" s="22" t="s">
        <v>1011</v>
      </c>
      <c r="E353" s="21">
        <f>Source!DO195</f>
        <v>55</v>
      </c>
      <c r="F353" s="24"/>
      <c r="G353" s="23"/>
      <c r="H353" s="21"/>
      <c r="I353" s="24">
        <f>SUM(S347:S352)</f>
        <v>386.67</v>
      </c>
      <c r="J353" s="21">
        <f>Source!CA195</f>
        <v>41</v>
      </c>
      <c r="K353" s="24">
        <f>SUM(T347:T352)</f>
        <v>8676.2199999999993</v>
      </c>
    </row>
    <row r="354" spans="1:35" ht="14.25" x14ac:dyDescent="0.2">
      <c r="A354" s="20"/>
      <c r="B354" s="20"/>
      <c r="C354" s="20" t="s">
        <v>1018</v>
      </c>
      <c r="D354" s="22" t="s">
        <v>1011</v>
      </c>
      <c r="E354" s="21">
        <f>175</f>
        <v>175</v>
      </c>
      <c r="F354" s="24"/>
      <c r="G354" s="23"/>
      <c r="H354" s="21"/>
      <c r="I354" s="24">
        <f>SUM(U347:U353)</f>
        <v>28.61</v>
      </c>
      <c r="J354" s="21">
        <f>160</f>
        <v>160</v>
      </c>
      <c r="K354" s="24">
        <f>SUM(V347:V353)</f>
        <v>787.42</v>
      </c>
    </row>
    <row r="355" spans="1:35" ht="14.25" x14ac:dyDescent="0.2">
      <c r="A355" s="26"/>
      <c r="B355" s="26"/>
      <c r="C355" s="26" t="s">
        <v>1013</v>
      </c>
      <c r="D355" s="27" t="s">
        <v>1014</v>
      </c>
      <c r="E355" s="28">
        <f>Source!AQ195</f>
        <v>69.87</v>
      </c>
      <c r="F355" s="29"/>
      <c r="G355" s="30" t="str">
        <f>Source!DI195</f>
        <v>)*0,6</v>
      </c>
      <c r="H355" s="28">
        <f>Source!AV195</f>
        <v>1</v>
      </c>
      <c r="I355" s="29">
        <f>Source!U195</f>
        <v>62.88300000000001</v>
      </c>
      <c r="J355" s="28"/>
      <c r="K355" s="29"/>
      <c r="AB355" s="25">
        <f>I355</f>
        <v>62.88300000000001</v>
      </c>
    </row>
    <row r="356" spans="1:35" ht="15" x14ac:dyDescent="0.25">
      <c r="C356" s="13" t="s">
        <v>1015</v>
      </c>
      <c r="H356" s="50">
        <f>I349+I350+I352+I353+I354+0</f>
        <v>1726.08</v>
      </c>
      <c r="I356" s="50"/>
      <c r="J356" s="50">
        <f>K349+K350+K352+K353+K354+0</f>
        <v>46219.68</v>
      </c>
      <c r="K356" s="50"/>
      <c r="O356" s="25">
        <f>I349+I350+I352+I353+I354+0</f>
        <v>1726.08</v>
      </c>
      <c r="P356" s="25">
        <f>K349+K350+K352+K353+K354+0</f>
        <v>46219.68</v>
      </c>
      <c r="X356">
        <f>IF(Source!BI195&lt;=1,I349+I350+I352+I353+I354-0, 0)</f>
        <v>1726.08</v>
      </c>
      <c r="Y356">
        <f>IF(Source!BI195=2,I349+I350+I352+I353+I354-0, 0)</f>
        <v>0</v>
      </c>
      <c r="Z356">
        <f>IF(Source!BI195=3,I349+I350+I352+I353+I354-0, 0)</f>
        <v>0</v>
      </c>
      <c r="AA356">
        <f>IF(Source!BI195=4,I349+I350+I352+I353+I354,0)</f>
        <v>0</v>
      </c>
    </row>
    <row r="358" spans="1:35" ht="28.5" x14ac:dyDescent="0.2">
      <c r="A358" s="20">
        <v>26</v>
      </c>
      <c r="B358" s="20" t="str">
        <f>Source!F196</f>
        <v>6.57-2-8</v>
      </c>
      <c r="C358" s="20" t="s">
        <v>392</v>
      </c>
      <c r="D358" s="22" t="str">
        <f>Source!H196</f>
        <v>100 м2 покрытия</v>
      </c>
      <c r="E358" s="21">
        <f>Source!I196</f>
        <v>2.7</v>
      </c>
      <c r="F358" s="24"/>
      <c r="G358" s="23"/>
      <c r="H358" s="21"/>
      <c r="I358" s="24"/>
      <c r="J358" s="21"/>
      <c r="K358" s="24"/>
      <c r="Q358">
        <f>ROUND((Source!DN196/100)*ROUND((ROUND((Source!AF196*Source!AV196*Source!I196),2)),2), 2)</f>
        <v>594.05999999999995</v>
      </c>
      <c r="R358">
        <f>Source!X196</f>
        <v>15646.16</v>
      </c>
      <c r="S358">
        <f>ROUND((Source!DO196/100)*ROUND((ROUND((Source!AF196*Source!AV196*Source!I196),2)),2), 2)</f>
        <v>408.42</v>
      </c>
      <c r="T358">
        <f>Source!Y196</f>
        <v>9164.18</v>
      </c>
      <c r="U358">
        <f>ROUND((175/100)*ROUND((ROUND((Source!AE196*Source!AV196*Source!I196),2)),2), 2)</f>
        <v>620.16999999999996</v>
      </c>
      <c r="V358">
        <f>ROUND((160/100)*ROUND(ROUND((ROUND((Source!AE196*Source!AV196*Source!I196),2)*Source!BS196),2), 2), 2)</f>
        <v>17066.939999999999</v>
      </c>
      <c r="AI358">
        <v>0</v>
      </c>
    </row>
    <row r="359" spans="1:35" x14ac:dyDescent="0.2">
      <c r="C359" s="31" t="str">
        <f>"Объем: "&amp;Source!I196&amp;"=(150+"&amp;"120)/"&amp;"100"</f>
        <v>Объем: 2,7=(150+120)/100</v>
      </c>
    </row>
    <row r="360" spans="1:35" ht="14.25" x14ac:dyDescent="0.2">
      <c r="A360" s="20"/>
      <c r="B360" s="20"/>
      <c r="C360" s="20" t="s">
        <v>1009</v>
      </c>
      <c r="D360" s="22"/>
      <c r="E360" s="21"/>
      <c r="F360" s="24">
        <f>Source!AO196</f>
        <v>275.02999999999997</v>
      </c>
      <c r="G360" s="23" t="str">
        <f>Source!DG196</f>
        <v/>
      </c>
      <c r="H360" s="21">
        <f>Source!AV196</f>
        <v>1</v>
      </c>
      <c r="I360" s="24">
        <f>ROUND((ROUND((Source!AF196*Source!AV196*Source!I196),2)),2)</f>
        <v>742.58</v>
      </c>
      <c r="J360" s="21">
        <f>IF(Source!BA196&lt;&gt; 0, Source!BA196, 1)</f>
        <v>30.1</v>
      </c>
      <c r="K360" s="24">
        <f>Source!S196</f>
        <v>22351.66</v>
      </c>
      <c r="W360">
        <f>I360</f>
        <v>742.58</v>
      </c>
    </row>
    <row r="361" spans="1:35" ht="14.25" x14ac:dyDescent="0.2">
      <c r="A361" s="20"/>
      <c r="B361" s="20"/>
      <c r="C361" s="20" t="s">
        <v>1016</v>
      </c>
      <c r="D361" s="22"/>
      <c r="E361" s="21"/>
      <c r="F361" s="24">
        <f>Source!AM196</f>
        <v>363.79</v>
      </c>
      <c r="G361" s="23" t="str">
        <f>Source!DE196</f>
        <v/>
      </c>
      <c r="H361" s="21">
        <f>Source!AV196</f>
        <v>1</v>
      </c>
      <c r="I361" s="24">
        <f>(ROUND((ROUND(((Source!ET196)*Source!AV196*Source!I196),2)),2)+ROUND((ROUND(((Source!AE196-(Source!EU196))*Source!AV196*Source!I196),2)),2))</f>
        <v>982.23</v>
      </c>
      <c r="J361" s="21">
        <f>IF(Source!BB196&lt;&gt; 0, Source!BB196, 1)</f>
        <v>17.239999999999998</v>
      </c>
      <c r="K361" s="24">
        <f>Source!Q196</f>
        <v>16933.650000000001</v>
      </c>
    </row>
    <row r="362" spans="1:35" ht="14.25" x14ac:dyDescent="0.2">
      <c r="A362" s="20"/>
      <c r="B362" s="20"/>
      <c r="C362" s="20" t="s">
        <v>1017</v>
      </c>
      <c r="D362" s="22"/>
      <c r="E362" s="21"/>
      <c r="F362" s="24">
        <f>Source!AN196</f>
        <v>131.25</v>
      </c>
      <c r="G362" s="23" t="str">
        <f>Source!DF196</f>
        <v/>
      </c>
      <c r="H362" s="21">
        <f>Source!AV196</f>
        <v>1</v>
      </c>
      <c r="I362" s="32">
        <f>ROUND((ROUND((Source!AE196*Source!AV196*Source!I196),2)),2)</f>
        <v>354.38</v>
      </c>
      <c r="J362" s="21">
        <f>IF(Source!BS196&lt;&gt; 0, Source!BS196, 1)</f>
        <v>30.1</v>
      </c>
      <c r="K362" s="32">
        <f>Source!R196</f>
        <v>10666.84</v>
      </c>
      <c r="W362">
        <f>I362</f>
        <v>354.38</v>
      </c>
    </row>
    <row r="363" spans="1:35" ht="14.25" x14ac:dyDescent="0.2">
      <c r="A363" s="20"/>
      <c r="B363" s="20"/>
      <c r="C363" s="20" t="s">
        <v>1010</v>
      </c>
      <c r="D363" s="22" t="s">
        <v>1011</v>
      </c>
      <c r="E363" s="21">
        <f>Source!DN196</f>
        <v>80</v>
      </c>
      <c r="F363" s="24"/>
      <c r="G363" s="23"/>
      <c r="H363" s="21"/>
      <c r="I363" s="24">
        <f>SUM(Q358:Q362)</f>
        <v>594.05999999999995</v>
      </c>
      <c r="J363" s="21">
        <f>Source!BZ196</f>
        <v>70</v>
      </c>
      <c r="K363" s="24">
        <f>SUM(R358:R362)</f>
        <v>15646.16</v>
      </c>
    </row>
    <row r="364" spans="1:35" ht="14.25" x14ac:dyDescent="0.2">
      <c r="A364" s="20"/>
      <c r="B364" s="20"/>
      <c r="C364" s="20" t="s">
        <v>1012</v>
      </c>
      <c r="D364" s="22" t="s">
        <v>1011</v>
      </c>
      <c r="E364" s="21">
        <f>Source!DO196</f>
        <v>55</v>
      </c>
      <c r="F364" s="24"/>
      <c r="G364" s="23"/>
      <c r="H364" s="21"/>
      <c r="I364" s="24">
        <f>SUM(S358:S363)</f>
        <v>408.42</v>
      </c>
      <c r="J364" s="21">
        <f>Source!CA196</f>
        <v>41</v>
      </c>
      <c r="K364" s="24">
        <f>SUM(T358:T363)</f>
        <v>9164.18</v>
      </c>
    </row>
    <row r="365" spans="1:35" ht="14.25" x14ac:dyDescent="0.2">
      <c r="A365" s="20"/>
      <c r="B365" s="20"/>
      <c r="C365" s="20" t="s">
        <v>1018</v>
      </c>
      <c r="D365" s="22" t="s">
        <v>1011</v>
      </c>
      <c r="E365" s="21">
        <f>175</f>
        <v>175</v>
      </c>
      <c r="F365" s="24"/>
      <c r="G365" s="23"/>
      <c r="H365" s="21"/>
      <c r="I365" s="24">
        <f>SUM(U358:U364)</f>
        <v>620.16999999999996</v>
      </c>
      <c r="J365" s="21">
        <f>160</f>
        <v>160</v>
      </c>
      <c r="K365" s="24">
        <f>SUM(V358:V364)</f>
        <v>17066.939999999999</v>
      </c>
    </row>
    <row r="366" spans="1:35" ht="14.25" x14ac:dyDescent="0.2">
      <c r="A366" s="26"/>
      <c r="B366" s="26"/>
      <c r="C366" s="26" t="s">
        <v>1013</v>
      </c>
      <c r="D366" s="27" t="s">
        <v>1014</v>
      </c>
      <c r="E366" s="28">
        <f>Source!AQ196</f>
        <v>24.6</v>
      </c>
      <c r="F366" s="29"/>
      <c r="G366" s="30" t="str">
        <f>Source!DI196</f>
        <v/>
      </c>
      <c r="H366" s="28">
        <f>Source!AV196</f>
        <v>1</v>
      </c>
      <c r="I366" s="29">
        <f>Source!U196</f>
        <v>66.42</v>
      </c>
      <c r="J366" s="28"/>
      <c r="K366" s="29"/>
      <c r="AB366" s="25">
        <f>I366</f>
        <v>66.42</v>
      </c>
    </row>
    <row r="367" spans="1:35" ht="15" x14ac:dyDescent="0.25">
      <c r="C367" s="13" t="s">
        <v>1015</v>
      </c>
      <c r="H367" s="50">
        <f>I360+I361+I363+I364+I365+0</f>
        <v>3347.46</v>
      </c>
      <c r="I367" s="50"/>
      <c r="J367" s="50">
        <f>K360+K361+K363+K364+K365+0</f>
        <v>81162.59</v>
      </c>
      <c r="K367" s="50"/>
      <c r="O367" s="25">
        <f>I360+I361+I363+I364+I365+0</f>
        <v>3347.46</v>
      </c>
      <c r="P367" s="25">
        <f>K360+K361+K363+K364+K365+0</f>
        <v>81162.59</v>
      </c>
      <c r="X367">
        <f>IF(Source!BI196&lt;=1,I360+I361+I363+I364+I365-0, 0)</f>
        <v>3347.46</v>
      </c>
      <c r="Y367">
        <f>IF(Source!BI196=2,I360+I361+I363+I364+I365-0, 0)</f>
        <v>0</v>
      </c>
      <c r="Z367">
        <f>IF(Source!BI196=3,I360+I361+I363+I364+I365-0, 0)</f>
        <v>0</v>
      </c>
      <c r="AA367">
        <f>IF(Source!BI196=4,I360+I361+I363+I364+I365,0)</f>
        <v>0</v>
      </c>
    </row>
    <row r="369" spans="1:35" ht="42.75" x14ac:dyDescent="0.2">
      <c r="A369" s="20">
        <v>27</v>
      </c>
      <c r="B369" s="20" t="str">
        <f>Source!F197</f>
        <v>6.57-2-16</v>
      </c>
      <c r="C369" s="20" t="s">
        <v>396</v>
      </c>
      <c r="D369" s="22" t="str">
        <f>Source!H197</f>
        <v>100 м2 покрытия</v>
      </c>
      <c r="E369" s="21">
        <f>Source!I197</f>
        <v>2.7</v>
      </c>
      <c r="F369" s="24"/>
      <c r="G369" s="23"/>
      <c r="H369" s="21"/>
      <c r="I369" s="24"/>
      <c r="J369" s="21"/>
      <c r="K369" s="24"/>
      <c r="Q369">
        <f>ROUND((Source!DN197/100)*ROUND((ROUND((Source!AF197*Source!AV197*Source!I197),2)),2), 2)</f>
        <v>144.9</v>
      </c>
      <c r="R369">
        <f>Source!X197</f>
        <v>3816.2</v>
      </c>
      <c r="S369">
        <f>ROUND((Source!DO197/100)*ROUND((ROUND((Source!AF197*Source!AV197*Source!I197),2)),2), 2)</f>
        <v>99.62</v>
      </c>
      <c r="T369">
        <f>Source!Y197</f>
        <v>2235.1999999999998</v>
      </c>
      <c r="U369">
        <f>ROUND((175/100)*ROUND((ROUND((Source!AE197*Source!AV197*Source!I197),2)),2), 2)</f>
        <v>0</v>
      </c>
      <c r="V369">
        <f>ROUND((160/100)*ROUND(ROUND((ROUND((Source!AE197*Source!AV197*Source!I197),2)*Source!BS197),2), 2), 2)</f>
        <v>0</v>
      </c>
      <c r="AI369">
        <v>0</v>
      </c>
    </row>
    <row r="370" spans="1:35" x14ac:dyDescent="0.2">
      <c r="C370" s="31" t="str">
        <f>"Объем: "&amp;Source!I197&amp;"=270/"&amp;"100"</f>
        <v>Объем: 2,7=270/100</v>
      </c>
    </row>
    <row r="371" spans="1:35" ht="14.25" x14ac:dyDescent="0.2">
      <c r="A371" s="20"/>
      <c r="B371" s="20"/>
      <c r="C371" s="20" t="s">
        <v>1009</v>
      </c>
      <c r="D371" s="22"/>
      <c r="E371" s="21"/>
      <c r="F371" s="24">
        <f>Source!AO197</f>
        <v>33.54</v>
      </c>
      <c r="G371" s="23" t="str">
        <f>Source!DG197</f>
        <v>)*2</v>
      </c>
      <c r="H371" s="21">
        <f>Source!AV197</f>
        <v>1</v>
      </c>
      <c r="I371" s="24">
        <f>ROUND((ROUND((Source!AF197*Source!AV197*Source!I197),2)),2)</f>
        <v>181.12</v>
      </c>
      <c r="J371" s="21">
        <f>IF(Source!BA197&lt;&gt; 0, Source!BA197, 1)</f>
        <v>30.1</v>
      </c>
      <c r="K371" s="24">
        <f>Source!S197</f>
        <v>5451.71</v>
      </c>
      <c r="W371">
        <f>I371</f>
        <v>181.12</v>
      </c>
    </row>
    <row r="372" spans="1:35" ht="14.25" x14ac:dyDescent="0.2">
      <c r="A372" s="20"/>
      <c r="B372" s="20"/>
      <c r="C372" s="20" t="s">
        <v>1010</v>
      </c>
      <c r="D372" s="22" t="s">
        <v>1011</v>
      </c>
      <c r="E372" s="21">
        <f>Source!DN197</f>
        <v>80</v>
      </c>
      <c r="F372" s="24"/>
      <c r="G372" s="23"/>
      <c r="H372" s="21"/>
      <c r="I372" s="24">
        <f>SUM(Q369:Q371)</f>
        <v>144.9</v>
      </c>
      <c r="J372" s="21">
        <f>Source!BZ197</f>
        <v>70</v>
      </c>
      <c r="K372" s="24">
        <f>SUM(R369:R371)</f>
        <v>3816.2</v>
      </c>
    </row>
    <row r="373" spans="1:35" ht="14.25" x14ac:dyDescent="0.2">
      <c r="A373" s="20"/>
      <c r="B373" s="20"/>
      <c r="C373" s="20" t="s">
        <v>1012</v>
      </c>
      <c r="D373" s="22" t="s">
        <v>1011</v>
      </c>
      <c r="E373" s="21">
        <f>Source!DO197</f>
        <v>55</v>
      </c>
      <c r="F373" s="24"/>
      <c r="G373" s="23"/>
      <c r="H373" s="21"/>
      <c r="I373" s="24">
        <f>SUM(S369:S372)</f>
        <v>99.62</v>
      </c>
      <c r="J373" s="21">
        <f>Source!CA197</f>
        <v>41</v>
      </c>
      <c r="K373" s="24">
        <f>SUM(T369:T372)</f>
        <v>2235.1999999999998</v>
      </c>
    </row>
    <row r="374" spans="1:35" ht="14.25" x14ac:dyDescent="0.2">
      <c r="A374" s="26"/>
      <c r="B374" s="26"/>
      <c r="C374" s="26" t="s">
        <v>1013</v>
      </c>
      <c r="D374" s="27" t="s">
        <v>1014</v>
      </c>
      <c r="E374" s="28">
        <f>Source!AQ197</f>
        <v>3</v>
      </c>
      <c r="F374" s="29"/>
      <c r="G374" s="30" t="str">
        <f>Source!DI197</f>
        <v>)*2</v>
      </c>
      <c r="H374" s="28">
        <f>Source!AV197</f>
        <v>1</v>
      </c>
      <c r="I374" s="29">
        <f>Source!U197</f>
        <v>16.200000000000003</v>
      </c>
      <c r="J374" s="28"/>
      <c r="K374" s="29"/>
      <c r="AB374" s="25">
        <f>I374</f>
        <v>16.200000000000003</v>
      </c>
    </row>
    <row r="375" spans="1:35" ht="15" x14ac:dyDescent="0.25">
      <c r="C375" s="13" t="s">
        <v>1015</v>
      </c>
      <c r="H375" s="50">
        <f>I371+I372+I373+0</f>
        <v>425.64</v>
      </c>
      <c r="I375" s="50"/>
      <c r="J375" s="50">
        <f>K371+K372+K373+0</f>
        <v>11503.11</v>
      </c>
      <c r="K375" s="50"/>
      <c r="O375" s="25">
        <f>I371+I372+I373+0</f>
        <v>425.64</v>
      </c>
      <c r="P375" s="25">
        <f>K371+K372+K373+0</f>
        <v>11503.11</v>
      </c>
      <c r="X375">
        <f>IF(Source!BI197&lt;=1,I371+I372+I373-0, 0)</f>
        <v>425.64</v>
      </c>
      <c r="Y375">
        <f>IF(Source!BI197=2,I371+I372+I373-0, 0)</f>
        <v>0</v>
      </c>
      <c r="Z375">
        <f>IF(Source!BI197=3,I371+I372+I373-0, 0)</f>
        <v>0</v>
      </c>
      <c r="AA375">
        <f>IF(Source!BI197=4,I371+I372+I373,0)</f>
        <v>0</v>
      </c>
    </row>
    <row r="378" spans="1:35" ht="15" x14ac:dyDescent="0.25">
      <c r="B378" s="51" t="str">
        <f>Source!G198</f>
        <v>Монтаж</v>
      </c>
      <c r="C378" s="51"/>
      <c r="D378" s="51"/>
      <c r="E378" s="51"/>
      <c r="F378" s="51"/>
      <c r="G378" s="51"/>
      <c r="H378" s="51"/>
      <c r="I378" s="51"/>
      <c r="J378" s="51"/>
    </row>
    <row r="379" spans="1:35" ht="28.5" x14ac:dyDescent="0.2">
      <c r="A379" s="20">
        <v>28</v>
      </c>
      <c r="B379" s="20" t="str">
        <f>Source!F201</f>
        <v>3.11-10-1</v>
      </c>
      <c r="C379" s="20" t="s">
        <v>408</v>
      </c>
      <c r="D379" s="22" t="str">
        <f>Source!H201</f>
        <v>100 м2 стяжки</v>
      </c>
      <c r="E379" s="21">
        <f>Source!I201</f>
        <v>2.7</v>
      </c>
      <c r="F379" s="24"/>
      <c r="G379" s="23"/>
      <c r="H379" s="21"/>
      <c r="I379" s="24"/>
      <c r="J379" s="21"/>
      <c r="K379" s="24"/>
      <c r="Q379">
        <f>ROUND((Source!DN201/100)*ROUND((ROUND((Source!AF201*Source!AV201*Source!I201),2)),2), 2)</f>
        <v>784.27</v>
      </c>
      <c r="R379">
        <f>Source!X201</f>
        <v>19747.88</v>
      </c>
      <c r="S379">
        <f>ROUND((Source!DO201/100)*ROUND((ROUND((Source!AF201*Source!AV201*Source!I201),2)),2), 2)</f>
        <v>527.88</v>
      </c>
      <c r="T379">
        <f>Source!Y201</f>
        <v>9306.4699999999993</v>
      </c>
      <c r="U379">
        <f>ROUND((175/100)*ROUND((ROUND((Source!AE201*Source!AV201*Source!I201),2)),2), 2)</f>
        <v>0</v>
      </c>
      <c r="V379">
        <f>ROUND((160/100)*ROUND(ROUND((ROUND((Source!AE201*Source!AV201*Source!I201),2)*Source!BS201),2), 2), 2)</f>
        <v>0</v>
      </c>
      <c r="AI379">
        <v>0</v>
      </c>
    </row>
    <row r="380" spans="1:35" x14ac:dyDescent="0.2">
      <c r="C380" s="31" t="str">
        <f>"Объем: "&amp;Source!I201&amp;"=270/"&amp;"100"</f>
        <v>Объем: 2,7=270/100</v>
      </c>
    </row>
    <row r="381" spans="1:35" ht="14.25" x14ac:dyDescent="0.2">
      <c r="A381" s="20"/>
      <c r="B381" s="20"/>
      <c r="C381" s="20" t="s">
        <v>1009</v>
      </c>
      <c r="D381" s="22"/>
      <c r="E381" s="21"/>
      <c r="F381" s="24">
        <f>Source!AO201</f>
        <v>242.87</v>
      </c>
      <c r="G381" s="23" t="str">
        <f>Source!DG201</f>
        <v>)*1,15</v>
      </c>
      <c r="H381" s="21">
        <f>Source!AV201</f>
        <v>1</v>
      </c>
      <c r="I381" s="24">
        <f>ROUND((ROUND((Source!AF201*Source!AV201*Source!I201),2)),2)</f>
        <v>754.11</v>
      </c>
      <c r="J381" s="21">
        <f>IF(Source!BA201&lt;&gt; 0, Source!BA201, 1)</f>
        <v>30.1</v>
      </c>
      <c r="K381" s="24">
        <f>Source!S201</f>
        <v>22698.71</v>
      </c>
      <c r="W381">
        <f>I381</f>
        <v>754.11</v>
      </c>
    </row>
    <row r="382" spans="1:35" ht="14.25" x14ac:dyDescent="0.2">
      <c r="A382" s="20"/>
      <c r="B382" s="20"/>
      <c r="C382" s="20" t="s">
        <v>1016</v>
      </c>
      <c r="D382" s="22"/>
      <c r="E382" s="21"/>
      <c r="F382" s="24">
        <f>Source!AM201</f>
        <v>1.8</v>
      </c>
      <c r="G382" s="23" t="str">
        <f>Source!DE201</f>
        <v>)*1,25</v>
      </c>
      <c r="H382" s="21">
        <f>Source!AV201</f>
        <v>1</v>
      </c>
      <c r="I382" s="24">
        <f>(ROUND((ROUND((((Source!ET201*1.25))*Source!AV201*Source!I201),2)),2)+ROUND((ROUND(((Source!AE201-((Source!EU201*1.25)))*Source!AV201*Source!I201),2)),2))</f>
        <v>6.08</v>
      </c>
      <c r="J382" s="21">
        <f>IF(Source!BB201&lt;&gt; 0, Source!BB201, 1)</f>
        <v>9.69</v>
      </c>
      <c r="K382" s="24">
        <f>Source!Q201</f>
        <v>58.92</v>
      </c>
    </row>
    <row r="383" spans="1:35" ht="14.25" x14ac:dyDescent="0.2">
      <c r="A383" s="20"/>
      <c r="B383" s="20"/>
      <c r="C383" s="20" t="s">
        <v>1019</v>
      </c>
      <c r="D383" s="22"/>
      <c r="E383" s="21"/>
      <c r="F383" s="24">
        <f>Source!AL201</f>
        <v>24.75</v>
      </c>
      <c r="G383" s="23" t="str">
        <f>Source!DD201</f>
        <v/>
      </c>
      <c r="H383" s="21">
        <f>Source!AW201</f>
        <v>1</v>
      </c>
      <c r="I383" s="24">
        <f>ROUND((ROUND((Source!AC201*Source!AW201*Source!I201),2)),2)</f>
        <v>66.83</v>
      </c>
      <c r="J383" s="21">
        <f>IF(Source!BC201&lt;&gt; 0, Source!BC201, 1)</f>
        <v>6</v>
      </c>
      <c r="K383" s="24">
        <f>Source!P201</f>
        <v>400.98</v>
      </c>
    </row>
    <row r="384" spans="1:35" ht="14.25" x14ac:dyDescent="0.2">
      <c r="A384" s="20" t="s">
        <v>413</v>
      </c>
      <c r="B384" s="20" t="str">
        <f>Source!F202</f>
        <v>1.3-2-6</v>
      </c>
      <c r="C384" s="20" t="s">
        <v>415</v>
      </c>
      <c r="D384" s="22" t="str">
        <f>Source!H202</f>
        <v>м3</v>
      </c>
      <c r="E384" s="21">
        <f>Source!I202</f>
        <v>5.5080000000000009</v>
      </c>
      <c r="F384" s="24">
        <f>Source!AK202</f>
        <v>478.96</v>
      </c>
      <c r="G384" s="33" t="s">
        <v>3</v>
      </c>
      <c r="H384" s="21">
        <f>Source!AW202</f>
        <v>1</v>
      </c>
      <c r="I384" s="24">
        <f>ROUND((ROUND((Source!AC202*Source!AW202*Source!I202),2)),2)+(ROUND((ROUND(((Source!ET202)*Source!AV202*Source!I202),2)),2)+ROUND((ROUND(((Source!AE202-(Source!EU202))*Source!AV202*Source!I202),2)),2))+ROUND((ROUND((Source!AF202*Source!AV202*Source!I202),2)),2)</f>
        <v>2638.11</v>
      </c>
      <c r="J384" s="21">
        <f>IF(Source!BC202&lt;&gt; 0, Source!BC202, 1)</f>
        <v>9.57</v>
      </c>
      <c r="K384" s="24">
        <f>Source!O202</f>
        <v>25246.71</v>
      </c>
      <c r="Q384">
        <f>ROUND((Source!DN202/100)*ROUND((ROUND((Source!AF202*Source!AV202*Source!I202),2)),2), 2)</f>
        <v>0</v>
      </c>
      <c r="R384">
        <f>Source!X202</f>
        <v>0</v>
      </c>
      <c r="S384">
        <f>ROUND((Source!DO202/100)*ROUND((ROUND((Source!AF202*Source!AV202*Source!I202),2)),2), 2)</f>
        <v>0</v>
      </c>
      <c r="T384">
        <f>Source!Y202</f>
        <v>0</v>
      </c>
      <c r="U384">
        <f>ROUND((175/100)*ROUND((ROUND((Source!AE202*Source!AV202*Source!I202),2)),2), 2)</f>
        <v>0</v>
      </c>
      <c r="V384">
        <f>ROUND((160/100)*ROUND(ROUND((ROUND((Source!AE202*Source!AV202*Source!I202),2)*Source!BS202),2), 2), 2)</f>
        <v>0</v>
      </c>
      <c r="X384">
        <f>IF(Source!BI202&lt;=1,I384, 0)</f>
        <v>2638.11</v>
      </c>
      <c r="Y384">
        <f>IF(Source!BI202=2,I384, 0)</f>
        <v>0</v>
      </c>
      <c r="Z384">
        <f>IF(Source!BI202=3,I384, 0)</f>
        <v>0</v>
      </c>
      <c r="AA384">
        <f>IF(Source!BI202=4,I384, 0)</f>
        <v>0</v>
      </c>
      <c r="AI384">
        <v>3</v>
      </c>
    </row>
    <row r="385" spans="1:35" ht="14.25" x14ac:dyDescent="0.2">
      <c r="A385" s="20"/>
      <c r="B385" s="20"/>
      <c r="C385" s="20" t="s">
        <v>1010</v>
      </c>
      <c r="D385" s="22" t="s">
        <v>1011</v>
      </c>
      <c r="E385" s="21">
        <f>Source!DN201</f>
        <v>104</v>
      </c>
      <c r="F385" s="24"/>
      <c r="G385" s="23"/>
      <c r="H385" s="21"/>
      <c r="I385" s="24">
        <f>SUM(Q379:Q384)</f>
        <v>784.27</v>
      </c>
      <c r="J385" s="21">
        <f>Source!BZ201</f>
        <v>87</v>
      </c>
      <c r="K385" s="24">
        <f>SUM(R379:R384)</f>
        <v>19747.88</v>
      </c>
    </row>
    <row r="386" spans="1:35" ht="14.25" x14ac:dyDescent="0.2">
      <c r="A386" s="20"/>
      <c r="B386" s="20"/>
      <c r="C386" s="20" t="s">
        <v>1012</v>
      </c>
      <c r="D386" s="22" t="s">
        <v>1011</v>
      </c>
      <c r="E386" s="21">
        <f>Source!DO201</f>
        <v>70</v>
      </c>
      <c r="F386" s="24"/>
      <c r="G386" s="23"/>
      <c r="H386" s="21"/>
      <c r="I386" s="24">
        <f>SUM(S379:S385)</f>
        <v>527.88</v>
      </c>
      <c r="J386" s="21">
        <f>Source!CA201</f>
        <v>41</v>
      </c>
      <c r="K386" s="24">
        <f>SUM(T379:T385)</f>
        <v>9306.4699999999993</v>
      </c>
    </row>
    <row r="387" spans="1:35" ht="14.25" x14ac:dyDescent="0.2">
      <c r="A387" s="26"/>
      <c r="B387" s="26"/>
      <c r="C387" s="26" t="s">
        <v>1013</v>
      </c>
      <c r="D387" s="27" t="s">
        <v>1014</v>
      </c>
      <c r="E387" s="28">
        <f>Source!AQ201</f>
        <v>23.33</v>
      </c>
      <c r="F387" s="29"/>
      <c r="G387" s="30" t="str">
        <f>Source!DI201</f>
        <v>)*1,15</v>
      </c>
      <c r="H387" s="28">
        <f>Source!AV201</f>
        <v>1</v>
      </c>
      <c r="I387" s="29">
        <f>Source!U201</f>
        <v>72.43965</v>
      </c>
      <c r="J387" s="28"/>
      <c r="K387" s="29"/>
      <c r="AB387" s="25">
        <f>I387</f>
        <v>72.43965</v>
      </c>
    </row>
    <row r="388" spans="1:35" ht="15" x14ac:dyDescent="0.25">
      <c r="C388" s="13" t="s">
        <v>1015</v>
      </c>
      <c r="H388" s="50">
        <f>I381+I382+I383+I385+I386+SUM(I384:I384)</f>
        <v>4777.2800000000007</v>
      </c>
      <c r="I388" s="50"/>
      <c r="J388" s="50">
        <f>K381+K382+K383+K385+K386+SUM(K384:K384)</f>
        <v>77459.67</v>
      </c>
      <c r="K388" s="50"/>
      <c r="O388" s="25">
        <f>I381+I382+I383+I385+I386+SUM(I384:I384)</f>
        <v>4777.2800000000007</v>
      </c>
      <c r="P388" s="25">
        <f>K381+K382+K383+K385+K386+SUM(K384:K384)</f>
        <v>77459.67</v>
      </c>
      <c r="X388">
        <f>IF(Source!BI201&lt;=1,I381+I382+I383+I385+I386-0, 0)</f>
        <v>2139.17</v>
      </c>
      <c r="Y388">
        <f>IF(Source!BI201=2,I381+I382+I383+I385+I386-0, 0)</f>
        <v>0</v>
      </c>
      <c r="Z388">
        <f>IF(Source!BI201=3,I381+I382+I383+I385+I386-0, 0)</f>
        <v>0</v>
      </c>
      <c r="AA388">
        <f>IF(Source!BI201=4,I381+I382+I383+I385+I386,0)</f>
        <v>0</v>
      </c>
    </row>
    <row r="390" spans="1:35" ht="42.75" x14ac:dyDescent="0.2">
      <c r="A390" s="20">
        <v>29</v>
      </c>
      <c r="B390" s="20" t="str">
        <f>Source!F203</f>
        <v>3.11-10-2</v>
      </c>
      <c r="C390" s="20" t="s">
        <v>419</v>
      </c>
      <c r="D390" s="22" t="str">
        <f>Source!H203</f>
        <v>100 м2 стяжки</v>
      </c>
      <c r="E390" s="21">
        <f>Source!I203</f>
        <v>2.7</v>
      </c>
      <c r="F390" s="24"/>
      <c r="G390" s="23"/>
      <c r="H390" s="21"/>
      <c r="I390" s="24"/>
      <c r="J390" s="21"/>
      <c r="K390" s="24"/>
      <c r="Q390">
        <f>ROUND((Source!DN203/100)*ROUND((ROUND((Source!AF203*Source!AV203*Source!I203),2)),2), 2)</f>
        <v>58.13</v>
      </c>
      <c r="R390">
        <f>Source!X203</f>
        <v>1463.59</v>
      </c>
      <c r="S390">
        <f>ROUND((Source!DO203/100)*ROUND((ROUND((Source!AF203*Source!AV203*Source!I203),2)),2), 2)</f>
        <v>39.119999999999997</v>
      </c>
      <c r="T390">
        <f>Source!Y203</f>
        <v>689.74</v>
      </c>
      <c r="U390">
        <f>ROUND((175/100)*ROUND((ROUND((Source!AE203*Source!AV203*Source!I203),2)),2), 2)</f>
        <v>0</v>
      </c>
      <c r="V390">
        <f>ROUND((160/100)*ROUND(ROUND((ROUND((Source!AE203*Source!AV203*Source!I203),2)*Source!BS203),2), 2), 2)</f>
        <v>0</v>
      </c>
      <c r="AI390">
        <v>0</v>
      </c>
    </row>
    <row r="391" spans="1:35" x14ac:dyDescent="0.2">
      <c r="C391" s="31" t="str">
        <f>"Объем: "&amp;Source!I203&amp;"=270/"&amp;"100"</f>
        <v>Объем: 2,7=270/100</v>
      </c>
    </row>
    <row r="392" spans="1:35" ht="28.5" x14ac:dyDescent="0.2">
      <c r="A392" s="20"/>
      <c r="B392" s="20"/>
      <c r="C392" s="20" t="s">
        <v>1009</v>
      </c>
      <c r="D392" s="22"/>
      <c r="E392" s="21"/>
      <c r="F392" s="24">
        <f>Source!AO203</f>
        <v>4.5</v>
      </c>
      <c r="G392" s="23" t="str">
        <f>Source!DG203</f>
        <v>)*1,15)*4</v>
      </c>
      <c r="H392" s="21">
        <f>Source!AV203</f>
        <v>1</v>
      </c>
      <c r="I392" s="24">
        <f>ROUND((ROUND((Source!AF203*Source!AV203*Source!I203),2)),2)</f>
        <v>55.89</v>
      </c>
      <c r="J392" s="21">
        <f>IF(Source!BA203&lt;&gt; 0, Source!BA203, 1)</f>
        <v>30.1</v>
      </c>
      <c r="K392" s="24">
        <f>Source!S203</f>
        <v>1682.29</v>
      </c>
      <c r="W392">
        <f>I392</f>
        <v>55.89</v>
      </c>
    </row>
    <row r="393" spans="1:35" ht="28.5" x14ac:dyDescent="0.2">
      <c r="A393" s="20"/>
      <c r="B393" s="20"/>
      <c r="C393" s="20" t="s">
        <v>1016</v>
      </c>
      <c r="D393" s="22"/>
      <c r="E393" s="21"/>
      <c r="F393" s="24">
        <f>Source!AM203</f>
        <v>0.46</v>
      </c>
      <c r="G393" s="23" t="str">
        <f>Source!DE203</f>
        <v>)*1,25)*4</v>
      </c>
      <c r="H393" s="21">
        <f>Source!AV203</f>
        <v>1</v>
      </c>
      <c r="I393" s="24">
        <f>(ROUND((ROUND(((((Source!ET203*1.25)*4))*Source!AV203*Source!I203),2)),2)+ROUND((ROUND(((Source!AE203-(((Source!EU203*1.25)*4)))*Source!AV203*Source!I203),2)),2))</f>
        <v>6.21</v>
      </c>
      <c r="J393" s="21">
        <f>IF(Source!BB203&lt;&gt; 0, Source!BB203, 1)</f>
        <v>9.6999999999999993</v>
      </c>
      <c r="K393" s="24">
        <f>Source!Q203</f>
        <v>60.24</v>
      </c>
    </row>
    <row r="394" spans="1:35" ht="14.25" x14ac:dyDescent="0.2">
      <c r="A394" s="20" t="s">
        <v>424</v>
      </c>
      <c r="B394" s="20" t="str">
        <f>Source!F204</f>
        <v>1.3-2-6</v>
      </c>
      <c r="C394" s="20" t="s">
        <v>415</v>
      </c>
      <c r="D394" s="22" t="str">
        <f>Source!H204</f>
        <v>м3</v>
      </c>
      <c r="E394" s="21">
        <f>Source!I204</f>
        <v>5.5080000000000009</v>
      </c>
      <c r="F394" s="24">
        <f>Source!AK204</f>
        <v>478.96</v>
      </c>
      <c r="G394" s="33" t="s">
        <v>1022</v>
      </c>
      <c r="H394" s="21">
        <f>Source!AW204</f>
        <v>1</v>
      </c>
      <c r="I394" s="24">
        <f>ROUND((ROUND((Source!AC204*Source!AW204*Source!I204),2)),2)+(ROUND((ROUND(((Source!ET204)*Source!AV204*Source!I204),2)),2)+ROUND((ROUND(((Source!AE204-(Source!EU204))*Source!AV204*Source!I204),2)),2))+ROUND((ROUND((Source!AF204*Source!AV204*Source!I204),2)),2)</f>
        <v>2638.11</v>
      </c>
      <c r="J394" s="21">
        <f>IF(Source!BC204&lt;&gt; 0, Source!BC204, 1)</f>
        <v>9.57</v>
      </c>
      <c r="K394" s="24">
        <f>Source!O204</f>
        <v>25246.71</v>
      </c>
      <c r="Q394">
        <f>ROUND((Source!DN204/100)*ROUND((ROUND((Source!AF204*Source!AV204*Source!I204),2)),2), 2)</f>
        <v>0</v>
      </c>
      <c r="R394">
        <f>Source!X204</f>
        <v>0</v>
      </c>
      <c r="S394">
        <f>ROUND((Source!DO204/100)*ROUND((ROUND((Source!AF204*Source!AV204*Source!I204),2)),2), 2)</f>
        <v>0</v>
      </c>
      <c r="T394">
        <f>Source!Y204</f>
        <v>0</v>
      </c>
      <c r="U394">
        <f>ROUND((175/100)*ROUND((ROUND((Source!AE204*Source!AV204*Source!I204),2)),2), 2)</f>
        <v>0</v>
      </c>
      <c r="V394">
        <f>ROUND((160/100)*ROUND(ROUND((ROUND((Source!AE204*Source!AV204*Source!I204),2)*Source!BS204),2), 2), 2)</f>
        <v>0</v>
      </c>
      <c r="X394">
        <f>IF(Source!BI204&lt;=1,I394, 0)</f>
        <v>2638.11</v>
      </c>
      <c r="Y394">
        <f>IF(Source!BI204=2,I394, 0)</f>
        <v>0</v>
      </c>
      <c r="Z394">
        <f>IF(Source!BI204=3,I394, 0)</f>
        <v>0</v>
      </c>
      <c r="AA394">
        <f>IF(Source!BI204=4,I394, 0)</f>
        <v>0</v>
      </c>
      <c r="AI394">
        <v>3</v>
      </c>
    </row>
    <row r="395" spans="1:35" ht="14.25" x14ac:dyDescent="0.2">
      <c r="A395" s="20"/>
      <c r="B395" s="20"/>
      <c r="C395" s="20" t="s">
        <v>1010</v>
      </c>
      <c r="D395" s="22" t="s">
        <v>1011</v>
      </c>
      <c r="E395" s="21">
        <f>Source!DN203</f>
        <v>104</v>
      </c>
      <c r="F395" s="24"/>
      <c r="G395" s="23"/>
      <c r="H395" s="21"/>
      <c r="I395" s="24">
        <f>SUM(Q390:Q394)</f>
        <v>58.13</v>
      </c>
      <c r="J395" s="21">
        <f>Source!BZ203</f>
        <v>87</v>
      </c>
      <c r="K395" s="24">
        <f>SUM(R390:R394)</f>
        <v>1463.59</v>
      </c>
    </row>
    <row r="396" spans="1:35" ht="14.25" x14ac:dyDescent="0.2">
      <c r="A396" s="20"/>
      <c r="B396" s="20"/>
      <c r="C396" s="20" t="s">
        <v>1012</v>
      </c>
      <c r="D396" s="22" t="s">
        <v>1011</v>
      </c>
      <c r="E396" s="21">
        <f>Source!DO203</f>
        <v>70</v>
      </c>
      <c r="F396" s="24"/>
      <c r="G396" s="23"/>
      <c r="H396" s="21"/>
      <c r="I396" s="24">
        <f>SUM(S390:S395)</f>
        <v>39.119999999999997</v>
      </c>
      <c r="J396" s="21">
        <f>Source!CA203</f>
        <v>41</v>
      </c>
      <c r="K396" s="24">
        <f>SUM(T390:T395)</f>
        <v>689.74</v>
      </c>
    </row>
    <row r="397" spans="1:35" ht="28.5" x14ac:dyDescent="0.2">
      <c r="A397" s="26"/>
      <c r="B397" s="26"/>
      <c r="C397" s="26" t="s">
        <v>1013</v>
      </c>
      <c r="D397" s="27" t="s">
        <v>1014</v>
      </c>
      <c r="E397" s="28">
        <f>Source!AQ203</f>
        <v>0.44</v>
      </c>
      <c r="F397" s="29"/>
      <c r="G397" s="30" t="str">
        <f>Source!DI203</f>
        <v>)*1,15)*4</v>
      </c>
      <c r="H397" s="28">
        <f>Source!AV203</f>
        <v>1</v>
      </c>
      <c r="I397" s="29">
        <f>Source!U203</f>
        <v>5.4648000000000003</v>
      </c>
      <c r="J397" s="28"/>
      <c r="K397" s="29"/>
      <c r="AB397" s="25">
        <f>I397</f>
        <v>5.4648000000000003</v>
      </c>
    </row>
    <row r="398" spans="1:35" ht="15" x14ac:dyDescent="0.25">
      <c r="C398" s="13" t="s">
        <v>1015</v>
      </c>
      <c r="H398" s="50">
        <f>I392+I393+I395+I396+SUM(I394:I394)</f>
        <v>2797.46</v>
      </c>
      <c r="I398" s="50"/>
      <c r="J398" s="50">
        <f>K392+K393+K395+K396+SUM(K394:K394)</f>
        <v>29142.57</v>
      </c>
      <c r="K398" s="50"/>
      <c r="O398" s="25">
        <f>I392+I393+I395+I396+SUM(I394:I394)</f>
        <v>2797.46</v>
      </c>
      <c r="P398" s="25">
        <f>K392+K393+K395+K396+SUM(K394:K394)</f>
        <v>29142.57</v>
      </c>
      <c r="X398">
        <f>IF(Source!BI203&lt;=1,I392+I393+I395+I396-0, 0)</f>
        <v>159.35</v>
      </c>
      <c r="Y398">
        <f>IF(Source!BI203=2,I392+I393+I395+I396-0, 0)</f>
        <v>0</v>
      </c>
      <c r="Z398">
        <f>IF(Source!BI203=3,I392+I393+I395+I396-0, 0)</f>
        <v>0</v>
      </c>
      <c r="AA398">
        <f>IF(Source!BI203=4,I392+I393+I395+I396,0)</f>
        <v>0</v>
      </c>
    </row>
    <row r="400" spans="1:35" ht="28.5" x14ac:dyDescent="0.2">
      <c r="A400" s="20">
        <v>30</v>
      </c>
      <c r="B400" s="20" t="str">
        <f>Source!F205</f>
        <v>3.6-6-10</v>
      </c>
      <c r="C400" s="20" t="s">
        <v>427</v>
      </c>
      <c r="D400" s="22" t="str">
        <f>Source!H205</f>
        <v>1 Т</v>
      </c>
      <c r="E400" s="21">
        <f>Source!I205</f>
        <v>0.86399999999999999</v>
      </c>
      <c r="F400" s="24"/>
      <c r="G400" s="23"/>
      <c r="H400" s="21"/>
      <c r="I400" s="24"/>
      <c r="J400" s="21"/>
      <c r="K400" s="24"/>
      <c r="Q400">
        <f>ROUND((Source!DN205/100)*ROUND((ROUND((Source!AF205*Source!AV205*Source!I205),2)),2), 2)</f>
        <v>113.75</v>
      </c>
      <c r="R400">
        <f>Source!X205</f>
        <v>2819.59</v>
      </c>
      <c r="S400">
        <f>ROUND((Source!DO205/100)*ROUND((ROUND((Source!AF205*Source!AV205*Source!I205),2)),2), 2)</f>
        <v>93.67</v>
      </c>
      <c r="T400">
        <f>Source!Y205</f>
        <v>1651.47</v>
      </c>
      <c r="U400">
        <f>ROUND((175/100)*ROUND((ROUND((Source!AE205*Source!AV205*Source!I205),2)),2), 2)</f>
        <v>9.56</v>
      </c>
      <c r="V400">
        <f>ROUND((160/100)*ROUND(ROUND((ROUND((Source!AE205*Source!AV205*Source!I205),2)*Source!BS205),2), 2), 2)</f>
        <v>262.95999999999998</v>
      </c>
      <c r="AI400">
        <v>0</v>
      </c>
    </row>
    <row r="401" spans="1:35" x14ac:dyDescent="0.2">
      <c r="C401" s="31" t="str">
        <f>"Объем: "&amp;Source!I205&amp;"=3,2*"&amp;"270/"&amp;"1000"</f>
        <v>Объем: 0,864=3,2*270/1000</v>
      </c>
    </row>
    <row r="402" spans="1:35" ht="14.25" x14ac:dyDescent="0.2">
      <c r="A402" s="20"/>
      <c r="B402" s="20"/>
      <c r="C402" s="20" t="s">
        <v>1009</v>
      </c>
      <c r="D402" s="22"/>
      <c r="E402" s="21"/>
      <c r="F402" s="24">
        <f>Source!AO205</f>
        <v>134.68</v>
      </c>
      <c r="G402" s="23" t="str">
        <f>Source!DG205</f>
        <v>)*1,15</v>
      </c>
      <c r="H402" s="21">
        <f>Source!AV205</f>
        <v>1</v>
      </c>
      <c r="I402" s="24">
        <f>ROUND((ROUND((Source!AF205*Source!AV205*Source!I205),2)),2)</f>
        <v>133.82</v>
      </c>
      <c r="J402" s="21">
        <f>IF(Source!BA205&lt;&gt; 0, Source!BA205, 1)</f>
        <v>30.1</v>
      </c>
      <c r="K402" s="24">
        <f>Source!S205</f>
        <v>4027.98</v>
      </c>
      <c r="W402">
        <f>I402</f>
        <v>133.82</v>
      </c>
    </row>
    <row r="403" spans="1:35" ht="14.25" x14ac:dyDescent="0.2">
      <c r="A403" s="20"/>
      <c r="B403" s="20"/>
      <c r="C403" s="20" t="s">
        <v>1016</v>
      </c>
      <c r="D403" s="22"/>
      <c r="E403" s="21"/>
      <c r="F403" s="24">
        <f>Source!AM205</f>
        <v>43.5</v>
      </c>
      <c r="G403" s="23" t="str">
        <f>Source!DE205</f>
        <v>)*1,25</v>
      </c>
      <c r="H403" s="21">
        <f>Source!AV205</f>
        <v>1</v>
      </c>
      <c r="I403" s="24">
        <f>(ROUND((ROUND((((Source!ET205*1.25))*Source!AV205*Source!I205),2)),2)+ROUND((ROUND(((Source!AE205-((Source!EU205*1.25)))*Source!AV205*Source!I205),2)),2))</f>
        <v>46.98</v>
      </c>
      <c r="J403" s="21">
        <f>IF(Source!BB205&lt;&gt; 0, Source!BB205, 1)</f>
        <v>11.37</v>
      </c>
      <c r="K403" s="24">
        <f>Source!Q205</f>
        <v>534.16</v>
      </c>
    </row>
    <row r="404" spans="1:35" ht="14.25" x14ac:dyDescent="0.2">
      <c r="A404" s="20"/>
      <c r="B404" s="20"/>
      <c r="C404" s="20" t="s">
        <v>1017</v>
      </c>
      <c r="D404" s="22"/>
      <c r="E404" s="21"/>
      <c r="F404" s="24">
        <f>Source!AN205</f>
        <v>5.0599999999999996</v>
      </c>
      <c r="G404" s="23" t="str">
        <f>Source!DF205</f>
        <v>)*1,25</v>
      </c>
      <c r="H404" s="21">
        <f>Source!AV205</f>
        <v>1</v>
      </c>
      <c r="I404" s="32">
        <f>ROUND((ROUND((Source!AE205*Source!AV205*Source!I205),2)),2)</f>
        <v>5.46</v>
      </c>
      <c r="J404" s="21">
        <f>IF(Source!BS205&lt;&gt; 0, Source!BS205, 1)</f>
        <v>30.1</v>
      </c>
      <c r="K404" s="32">
        <f>Source!R205</f>
        <v>164.35</v>
      </c>
      <c r="W404">
        <f>I404</f>
        <v>5.46</v>
      </c>
    </row>
    <row r="405" spans="1:35" ht="14.25" x14ac:dyDescent="0.2">
      <c r="A405" s="20"/>
      <c r="B405" s="20"/>
      <c r="C405" s="20" t="s">
        <v>1019</v>
      </c>
      <c r="D405" s="22"/>
      <c r="E405" s="21"/>
      <c r="F405" s="24">
        <f>Source!AL205</f>
        <v>258.91000000000003</v>
      </c>
      <c r="G405" s="23" t="str">
        <f>Source!DD205</f>
        <v/>
      </c>
      <c r="H405" s="21">
        <f>Source!AW205</f>
        <v>1</v>
      </c>
      <c r="I405" s="24">
        <f>ROUND((ROUND((Source!AC205*Source!AW205*Source!I205),2)),2)</f>
        <v>223.7</v>
      </c>
      <c r="J405" s="21">
        <f>IF(Source!BC205&lt;&gt; 0, Source!BC205, 1)</f>
        <v>8.15</v>
      </c>
      <c r="K405" s="24">
        <f>Source!P205</f>
        <v>1823.16</v>
      </c>
    </row>
    <row r="406" spans="1:35" ht="57" x14ac:dyDescent="0.2">
      <c r="A406" s="20" t="s">
        <v>432</v>
      </c>
      <c r="B406" s="20" t="str">
        <f>Source!F206</f>
        <v>1.3-4-75</v>
      </c>
      <c r="C406" s="20" t="s">
        <v>434</v>
      </c>
      <c r="D406" s="22" t="str">
        <f>Source!H206</f>
        <v>т</v>
      </c>
      <c r="E406" s="21">
        <f>Source!I206</f>
        <v>0.86399999999999999</v>
      </c>
      <c r="F406" s="24">
        <f>Source!AK206</f>
        <v>9733.52</v>
      </c>
      <c r="G406" s="33" t="s">
        <v>3</v>
      </c>
      <c r="H406" s="21">
        <f>Source!AW206</f>
        <v>1</v>
      </c>
      <c r="I406" s="24">
        <f>ROUND((ROUND((Source!AC206*Source!AW206*Source!I206),2)),2)+(ROUND((ROUND(((Source!ET206)*Source!AV206*Source!I206),2)),2)+ROUND((ROUND(((Source!AE206-(Source!EU206))*Source!AV206*Source!I206),2)),2))+ROUND((ROUND((Source!AF206*Source!AV206*Source!I206),2)),2)</f>
        <v>8409.76</v>
      </c>
      <c r="J406" s="21">
        <f>IF(Source!BC206&lt;&gt; 0, Source!BC206, 1)</f>
        <v>4.3499999999999996</v>
      </c>
      <c r="K406" s="24">
        <f>Source!O206</f>
        <v>36582.46</v>
      </c>
      <c r="Q406">
        <f>ROUND((Source!DN206/100)*ROUND((ROUND((Source!AF206*Source!AV206*Source!I206),2)),2), 2)</f>
        <v>0</v>
      </c>
      <c r="R406">
        <f>Source!X206</f>
        <v>0</v>
      </c>
      <c r="S406">
        <f>ROUND((Source!DO206/100)*ROUND((ROUND((Source!AF206*Source!AV206*Source!I206),2)),2), 2)</f>
        <v>0</v>
      </c>
      <c r="T406">
        <f>Source!Y206</f>
        <v>0</v>
      </c>
      <c r="U406">
        <f>ROUND((175/100)*ROUND((ROUND((Source!AE206*Source!AV206*Source!I206),2)),2), 2)</f>
        <v>0</v>
      </c>
      <c r="V406">
        <f>ROUND((160/100)*ROUND(ROUND((ROUND((Source!AE206*Source!AV206*Source!I206),2)*Source!BS206),2), 2), 2)</f>
        <v>0</v>
      </c>
      <c r="X406">
        <f>IF(Source!BI206&lt;=1,I406, 0)</f>
        <v>8409.76</v>
      </c>
      <c r="Y406">
        <f>IF(Source!BI206=2,I406, 0)</f>
        <v>0</v>
      </c>
      <c r="Z406">
        <f>IF(Source!BI206=3,I406, 0)</f>
        <v>0</v>
      </c>
      <c r="AA406">
        <f>IF(Source!BI206=4,I406, 0)</f>
        <v>0</v>
      </c>
      <c r="AI406">
        <v>3</v>
      </c>
    </row>
    <row r="407" spans="1:35" ht="14.25" x14ac:dyDescent="0.2">
      <c r="A407" s="20"/>
      <c r="B407" s="20"/>
      <c r="C407" s="20" t="s">
        <v>1010</v>
      </c>
      <c r="D407" s="22" t="s">
        <v>1011</v>
      </c>
      <c r="E407" s="21">
        <f>Source!DN205</f>
        <v>85</v>
      </c>
      <c r="F407" s="24"/>
      <c r="G407" s="23"/>
      <c r="H407" s="21"/>
      <c r="I407" s="24">
        <f>SUM(Q400:Q406)</f>
        <v>113.75</v>
      </c>
      <c r="J407" s="21">
        <f>Source!BZ205</f>
        <v>70</v>
      </c>
      <c r="K407" s="24">
        <f>SUM(R400:R406)</f>
        <v>2819.59</v>
      </c>
    </row>
    <row r="408" spans="1:35" ht="14.25" x14ac:dyDescent="0.2">
      <c r="A408" s="20"/>
      <c r="B408" s="20"/>
      <c r="C408" s="20" t="s">
        <v>1012</v>
      </c>
      <c r="D408" s="22" t="s">
        <v>1011</v>
      </c>
      <c r="E408" s="21">
        <f>Source!DO205</f>
        <v>70</v>
      </c>
      <c r="F408" s="24"/>
      <c r="G408" s="23"/>
      <c r="H408" s="21"/>
      <c r="I408" s="24">
        <f>SUM(S400:S407)</f>
        <v>93.67</v>
      </c>
      <c r="J408" s="21">
        <f>Source!CA205</f>
        <v>41</v>
      </c>
      <c r="K408" s="24">
        <f>SUM(T400:T407)</f>
        <v>1651.47</v>
      </c>
    </row>
    <row r="409" spans="1:35" ht="14.25" x14ac:dyDescent="0.2">
      <c r="A409" s="20"/>
      <c r="B409" s="20"/>
      <c r="C409" s="20" t="s">
        <v>1018</v>
      </c>
      <c r="D409" s="22" t="s">
        <v>1011</v>
      </c>
      <c r="E409" s="21">
        <f>175</f>
        <v>175</v>
      </c>
      <c r="F409" s="24"/>
      <c r="G409" s="23"/>
      <c r="H409" s="21"/>
      <c r="I409" s="24">
        <f>SUM(U400:U408)</f>
        <v>9.56</v>
      </c>
      <c r="J409" s="21">
        <f>160</f>
        <v>160</v>
      </c>
      <c r="K409" s="24">
        <f>SUM(V400:V408)</f>
        <v>262.95999999999998</v>
      </c>
    </row>
    <row r="410" spans="1:35" ht="14.25" x14ac:dyDescent="0.2">
      <c r="A410" s="26"/>
      <c r="B410" s="26"/>
      <c r="C410" s="26" t="s">
        <v>1013</v>
      </c>
      <c r="D410" s="27" t="s">
        <v>1014</v>
      </c>
      <c r="E410" s="28">
        <f>Source!AQ205</f>
        <v>11.6</v>
      </c>
      <c r="F410" s="29"/>
      <c r="G410" s="30" t="str">
        <f>Source!DI205</f>
        <v>)*1,15</v>
      </c>
      <c r="H410" s="28">
        <f>Source!AV205</f>
        <v>1</v>
      </c>
      <c r="I410" s="29">
        <f>Source!U205</f>
        <v>11.525759999999998</v>
      </c>
      <c r="J410" s="28"/>
      <c r="K410" s="29"/>
      <c r="AB410" s="25">
        <f>I410</f>
        <v>11.525759999999998</v>
      </c>
    </row>
    <row r="411" spans="1:35" ht="15" x14ac:dyDescent="0.25">
      <c r="C411" s="13" t="s">
        <v>1015</v>
      </c>
      <c r="H411" s="50">
        <f>I402+I403+I405+I407+I408+I409+SUM(I406:I406)</f>
        <v>9031.24</v>
      </c>
      <c r="I411" s="50"/>
      <c r="J411" s="50">
        <f>K402+K403+K405+K407+K408+K409+SUM(K406:K406)</f>
        <v>47701.78</v>
      </c>
      <c r="K411" s="50"/>
      <c r="O411" s="25">
        <f>I402+I403+I405+I407+I408+I409+SUM(I406:I406)</f>
        <v>9031.24</v>
      </c>
      <c r="P411" s="25">
        <f>K402+K403+K405+K407+K408+K409+SUM(K406:K406)</f>
        <v>47701.78</v>
      </c>
      <c r="X411">
        <f>IF(Source!BI205&lt;=1,I402+I403+I405+I407+I408+I409-0, 0)</f>
        <v>621.4799999999999</v>
      </c>
      <c r="Y411">
        <f>IF(Source!BI205=2,I402+I403+I405+I407+I408+I409-0, 0)</f>
        <v>0</v>
      </c>
      <c r="Z411">
        <f>IF(Source!BI205=3,I402+I403+I405+I407+I408+I409-0, 0)</f>
        <v>0</v>
      </c>
      <c r="AA411">
        <f>IF(Source!BI205=4,I402+I403+I405+I407+I408+I409,0)</f>
        <v>0</v>
      </c>
    </row>
    <row r="413" spans="1:35" ht="57" x14ac:dyDescent="0.2">
      <c r="A413" s="20">
        <v>31</v>
      </c>
      <c r="B413" s="20" t="str">
        <f>Source!F207</f>
        <v>3.11-36-1</v>
      </c>
      <c r="C413" s="20" t="s">
        <v>438</v>
      </c>
      <c r="D413" s="22" t="str">
        <f>Source!H207</f>
        <v>100 м2</v>
      </c>
      <c r="E413" s="21">
        <f>Source!I207</f>
        <v>1.5</v>
      </c>
      <c r="F413" s="24"/>
      <c r="G413" s="23"/>
      <c r="H413" s="21"/>
      <c r="I413" s="24"/>
      <c r="J413" s="21"/>
      <c r="K413" s="24"/>
      <c r="Q413">
        <f>ROUND((Source!DN207/100)*ROUND((ROUND((Source!AF207*Source!AV207*Source!I207),2)),2), 2)</f>
        <v>1770.64</v>
      </c>
      <c r="R413">
        <f>Source!X207</f>
        <v>44584.41</v>
      </c>
      <c r="S413">
        <f>ROUND((Source!DO207/100)*ROUND((ROUND((Source!AF207*Source!AV207*Source!I207),2)),2), 2)</f>
        <v>1191.78</v>
      </c>
      <c r="T413">
        <f>Source!Y207</f>
        <v>21011.040000000001</v>
      </c>
      <c r="U413">
        <f>ROUND((175/100)*ROUND((ROUND((Source!AE207*Source!AV207*Source!I207),2)),2), 2)</f>
        <v>38.92</v>
      </c>
      <c r="V413">
        <f>ROUND((160/100)*ROUND(ROUND((ROUND((Source!AE207*Source!AV207*Source!I207),2)*Source!BS207),2), 2), 2)</f>
        <v>1071.07</v>
      </c>
      <c r="AI413">
        <v>0</v>
      </c>
    </row>
    <row r="414" spans="1:35" x14ac:dyDescent="0.2">
      <c r="C414" s="31" t="str">
        <f>"Объем: "&amp;Source!I207&amp;"=150/"&amp;"100"</f>
        <v>Объем: 1,5=150/100</v>
      </c>
    </row>
    <row r="415" spans="1:35" ht="14.25" x14ac:dyDescent="0.2">
      <c r="A415" s="20"/>
      <c r="B415" s="20"/>
      <c r="C415" s="20" t="s">
        <v>1009</v>
      </c>
      <c r="D415" s="22"/>
      <c r="E415" s="21"/>
      <c r="F415" s="24">
        <f>Source!AO207</f>
        <v>986.98</v>
      </c>
      <c r="G415" s="23" t="str">
        <f>Source!DG207</f>
        <v>)*1,15</v>
      </c>
      <c r="H415" s="21">
        <f>Source!AV207</f>
        <v>1</v>
      </c>
      <c r="I415" s="24">
        <f>ROUND((ROUND((Source!AF207*Source!AV207*Source!I207),2)),2)</f>
        <v>1702.54</v>
      </c>
      <c r="J415" s="21">
        <f>IF(Source!BA207&lt;&gt; 0, Source!BA207, 1)</f>
        <v>30.1</v>
      </c>
      <c r="K415" s="24">
        <f>Source!S207</f>
        <v>51246.45</v>
      </c>
      <c r="W415">
        <f>I415</f>
        <v>1702.54</v>
      </c>
    </row>
    <row r="416" spans="1:35" ht="14.25" x14ac:dyDescent="0.2">
      <c r="A416" s="20"/>
      <c r="B416" s="20"/>
      <c r="C416" s="20" t="s">
        <v>1016</v>
      </c>
      <c r="D416" s="22"/>
      <c r="E416" s="21"/>
      <c r="F416" s="24">
        <f>Source!AM207</f>
        <v>81.709999999999994</v>
      </c>
      <c r="G416" s="23" t="str">
        <f>Source!DE207</f>
        <v>)*1,25</v>
      </c>
      <c r="H416" s="21">
        <f>Source!AV207</f>
        <v>1</v>
      </c>
      <c r="I416" s="24">
        <f>(ROUND((ROUND((((Source!ET207*1.25))*Source!AV207*Source!I207),2)),2)+ROUND((ROUND(((Source!AE207-((Source!EU207*1.25)))*Source!AV207*Source!I207),2)),2))</f>
        <v>153.21</v>
      </c>
      <c r="J416" s="21">
        <f>IF(Source!BB207&lt;&gt; 0, Source!BB207, 1)</f>
        <v>12.06</v>
      </c>
      <c r="K416" s="24">
        <f>Source!Q207</f>
        <v>1847.71</v>
      </c>
    </row>
    <row r="417" spans="1:35" ht="14.25" x14ac:dyDescent="0.2">
      <c r="A417" s="20"/>
      <c r="B417" s="20"/>
      <c r="C417" s="20" t="s">
        <v>1017</v>
      </c>
      <c r="D417" s="22"/>
      <c r="E417" s="21"/>
      <c r="F417" s="24">
        <f>Source!AN207</f>
        <v>11.86</v>
      </c>
      <c r="G417" s="23" t="str">
        <f>Source!DF207</f>
        <v>)*1,25</v>
      </c>
      <c r="H417" s="21">
        <f>Source!AV207</f>
        <v>1</v>
      </c>
      <c r="I417" s="32">
        <f>ROUND((ROUND((Source!AE207*Source!AV207*Source!I207),2)),2)</f>
        <v>22.24</v>
      </c>
      <c r="J417" s="21">
        <f>IF(Source!BS207&lt;&gt; 0, Source!BS207, 1)</f>
        <v>30.1</v>
      </c>
      <c r="K417" s="32">
        <f>Source!R207</f>
        <v>669.42</v>
      </c>
      <c r="W417">
        <f>I417</f>
        <v>22.24</v>
      </c>
    </row>
    <row r="418" spans="1:35" ht="14.25" x14ac:dyDescent="0.2">
      <c r="A418" s="20"/>
      <c r="B418" s="20"/>
      <c r="C418" s="20" t="s">
        <v>1019</v>
      </c>
      <c r="D418" s="22"/>
      <c r="E418" s="21"/>
      <c r="F418" s="24">
        <f>Source!AL207</f>
        <v>699.78</v>
      </c>
      <c r="G418" s="23" t="str">
        <f>Source!DD207</f>
        <v/>
      </c>
      <c r="H418" s="21">
        <f>Source!AW207</f>
        <v>1</v>
      </c>
      <c r="I418" s="24">
        <f>ROUND((ROUND((Source!AC207*Source!AW207*Source!I207),2)),2)</f>
        <v>1049.67</v>
      </c>
      <c r="J418" s="21">
        <f>IF(Source!BC207&lt;&gt; 0, Source!BC207, 1)</f>
        <v>3.7</v>
      </c>
      <c r="K418" s="24">
        <f>Source!P207</f>
        <v>3883.78</v>
      </c>
    </row>
    <row r="419" spans="1:35" ht="71.25" x14ac:dyDescent="0.2">
      <c r="A419" s="20" t="s">
        <v>442</v>
      </c>
      <c r="B419" s="20" t="str">
        <f>Source!F208</f>
        <v>1.3-2-138</v>
      </c>
      <c r="C419" s="20" t="s">
        <v>443</v>
      </c>
      <c r="D419" s="22" t="str">
        <f>Source!H208</f>
        <v>т</v>
      </c>
      <c r="E419" s="21">
        <f>Source!I208</f>
        <v>0.06</v>
      </c>
      <c r="F419" s="24">
        <f>Source!AK208</f>
        <v>27362.67</v>
      </c>
      <c r="G419" s="33" t="s">
        <v>3</v>
      </c>
      <c r="H419" s="21">
        <f>Source!AW208</f>
        <v>1</v>
      </c>
      <c r="I419" s="24">
        <f>ROUND((ROUND((Source!AC208*Source!AW208*Source!I208),2)),2)+(ROUND((ROUND(((Source!ET208)*Source!AV208*Source!I208),2)),2)+ROUND((ROUND(((Source!AE208-(Source!EU208))*Source!AV208*Source!I208),2)),2))+ROUND((ROUND((Source!AF208*Source!AV208*Source!I208),2)),2)</f>
        <v>1641.76</v>
      </c>
      <c r="J419" s="21">
        <f>IF(Source!BC208&lt;&gt; 0, Source!BC208, 1)</f>
        <v>3.34</v>
      </c>
      <c r="K419" s="24">
        <f>Source!O208</f>
        <v>5483.48</v>
      </c>
      <c r="Q419">
        <f>ROUND((Source!DN208/100)*ROUND((ROUND((Source!AF208*Source!AV208*Source!I208),2)),2), 2)</f>
        <v>0</v>
      </c>
      <c r="R419">
        <f>Source!X208</f>
        <v>0</v>
      </c>
      <c r="S419">
        <f>ROUND((Source!DO208/100)*ROUND((ROUND((Source!AF208*Source!AV208*Source!I208),2)),2), 2)</f>
        <v>0</v>
      </c>
      <c r="T419">
        <f>Source!Y208</f>
        <v>0</v>
      </c>
      <c r="U419">
        <f>ROUND((175/100)*ROUND((ROUND((Source!AE208*Source!AV208*Source!I208),2)),2), 2)</f>
        <v>0</v>
      </c>
      <c r="V419">
        <f>ROUND((160/100)*ROUND(ROUND((ROUND((Source!AE208*Source!AV208*Source!I208),2)*Source!BS208),2), 2), 2)</f>
        <v>0</v>
      </c>
      <c r="X419">
        <f>IF(Source!BI208&lt;=1,I419, 0)</f>
        <v>1641.76</v>
      </c>
      <c r="Y419">
        <f>IF(Source!BI208=2,I419, 0)</f>
        <v>0</v>
      </c>
      <c r="Z419">
        <f>IF(Source!BI208=3,I419, 0)</f>
        <v>0</v>
      </c>
      <c r="AA419">
        <f>IF(Source!BI208=4,I419, 0)</f>
        <v>0</v>
      </c>
      <c r="AI419">
        <v>3</v>
      </c>
    </row>
    <row r="420" spans="1:35" ht="99.75" x14ac:dyDescent="0.2">
      <c r="A420" s="20" t="s">
        <v>444</v>
      </c>
      <c r="B420" s="20" t="str">
        <f>Source!F209</f>
        <v>1.3-2-167</v>
      </c>
      <c r="C420" s="20" t="s">
        <v>445</v>
      </c>
      <c r="D420" s="22" t="str">
        <f>Source!H209</f>
        <v>т</v>
      </c>
      <c r="E420" s="21">
        <f>Source!I209</f>
        <v>0.70499999999999996</v>
      </c>
      <c r="F420" s="24">
        <f>Source!AK209</f>
        <v>3971.63</v>
      </c>
      <c r="G420" s="33" t="s">
        <v>3</v>
      </c>
      <c r="H420" s="21">
        <f>Source!AW209</f>
        <v>1</v>
      </c>
      <c r="I420" s="24">
        <f>ROUND((ROUND((Source!AC209*Source!AW209*Source!I209),2)),2)+(ROUND((ROUND(((Source!ET209)*Source!AV209*Source!I209),2)),2)+ROUND((ROUND(((Source!AE209-(Source!EU209))*Source!AV209*Source!I209),2)),2))+ROUND((ROUND((Source!AF209*Source!AV209*Source!I209),2)),2)</f>
        <v>2800</v>
      </c>
      <c r="J420" s="21">
        <f>IF(Source!BC209&lt;&gt; 0, Source!BC209, 1)</f>
        <v>3.15</v>
      </c>
      <c r="K420" s="24">
        <f>Source!O209</f>
        <v>8820</v>
      </c>
      <c r="Q420">
        <f>ROUND((Source!DN209/100)*ROUND((ROUND((Source!AF209*Source!AV209*Source!I209),2)),2), 2)</f>
        <v>0</v>
      </c>
      <c r="R420">
        <f>Source!X209</f>
        <v>0</v>
      </c>
      <c r="S420">
        <f>ROUND((Source!DO209/100)*ROUND((ROUND((Source!AF209*Source!AV209*Source!I209),2)),2), 2)</f>
        <v>0</v>
      </c>
      <c r="T420">
        <f>Source!Y209</f>
        <v>0</v>
      </c>
      <c r="U420">
        <f>ROUND((175/100)*ROUND((ROUND((Source!AE209*Source!AV209*Source!I209),2)),2), 2)</f>
        <v>0</v>
      </c>
      <c r="V420">
        <f>ROUND((160/100)*ROUND(ROUND((ROUND((Source!AE209*Source!AV209*Source!I209),2)*Source!BS209),2), 2), 2)</f>
        <v>0</v>
      </c>
      <c r="X420">
        <f>IF(Source!BI209&lt;=1,I420, 0)</f>
        <v>2800</v>
      </c>
      <c r="Y420">
        <f>IF(Source!BI209=2,I420, 0)</f>
        <v>0</v>
      </c>
      <c r="Z420">
        <f>IF(Source!BI209=3,I420, 0)</f>
        <v>0</v>
      </c>
      <c r="AA420">
        <f>IF(Source!BI209=4,I420, 0)</f>
        <v>0</v>
      </c>
      <c r="AI420">
        <v>3</v>
      </c>
    </row>
    <row r="421" spans="1:35" ht="42.75" x14ac:dyDescent="0.2">
      <c r="A421" s="20" t="s">
        <v>446</v>
      </c>
      <c r="B421" s="20" t="str">
        <f>Source!F210</f>
        <v>1.1-1-4104</v>
      </c>
      <c r="C421" s="20" t="s">
        <v>448</v>
      </c>
      <c r="D421" s="22" t="str">
        <f>Source!H210</f>
        <v>м2</v>
      </c>
      <c r="E421" s="21">
        <f>Source!I210</f>
        <v>153</v>
      </c>
      <c r="F421" s="24">
        <f>Source!AK210</f>
        <v>127.6</v>
      </c>
      <c r="G421" s="33" t="s">
        <v>3</v>
      </c>
      <c r="H421" s="21">
        <f>Source!AW210</f>
        <v>1</v>
      </c>
      <c r="I421" s="24">
        <f>ROUND((ROUND((Source!AC210*Source!AW210*Source!I210),2)),2)+(ROUND((ROUND(((Source!ET210)*Source!AV210*Source!I210),2)),2)+ROUND((ROUND(((Source!AE210-(Source!EU210))*Source!AV210*Source!I210),2)),2))+ROUND((ROUND((Source!AF210*Source!AV210*Source!I210),2)),2)</f>
        <v>19522.8</v>
      </c>
      <c r="J421" s="21">
        <f>IF(Source!BC210&lt;&gt; 0, Source!BC210, 1)</f>
        <v>6.76</v>
      </c>
      <c r="K421" s="24">
        <f>Source!O210</f>
        <v>131974.13</v>
      </c>
      <c r="Q421">
        <f>ROUND((Source!DN210/100)*ROUND((ROUND((Source!AF210*Source!AV210*Source!I210),2)),2), 2)</f>
        <v>0</v>
      </c>
      <c r="R421">
        <f>Source!X210</f>
        <v>0</v>
      </c>
      <c r="S421">
        <f>ROUND((Source!DO210/100)*ROUND((ROUND((Source!AF210*Source!AV210*Source!I210),2)),2), 2)</f>
        <v>0</v>
      </c>
      <c r="T421">
        <f>Source!Y210</f>
        <v>0</v>
      </c>
      <c r="U421">
        <f>ROUND((175/100)*ROUND((ROUND((Source!AE210*Source!AV210*Source!I210),2)),2), 2)</f>
        <v>0</v>
      </c>
      <c r="V421">
        <f>ROUND((160/100)*ROUND(ROUND((ROUND((Source!AE210*Source!AV210*Source!I210),2)*Source!BS210),2), 2), 2)</f>
        <v>0</v>
      </c>
      <c r="X421">
        <f>IF(Source!BI210&lt;=1,I421, 0)</f>
        <v>19522.8</v>
      </c>
      <c r="Y421">
        <f>IF(Source!BI210=2,I421, 0)</f>
        <v>0</v>
      </c>
      <c r="Z421">
        <f>IF(Source!BI210=3,I421, 0)</f>
        <v>0</v>
      </c>
      <c r="AA421">
        <f>IF(Source!BI210=4,I421, 0)</f>
        <v>0</v>
      </c>
      <c r="AI421">
        <v>3</v>
      </c>
    </row>
    <row r="422" spans="1:35" ht="14.25" x14ac:dyDescent="0.2">
      <c r="A422" s="20"/>
      <c r="B422" s="20"/>
      <c r="C422" s="20" t="s">
        <v>1010</v>
      </c>
      <c r="D422" s="22" t="s">
        <v>1011</v>
      </c>
      <c r="E422" s="21">
        <f>Source!DN207</f>
        <v>104</v>
      </c>
      <c r="F422" s="24"/>
      <c r="G422" s="23"/>
      <c r="H422" s="21"/>
      <c r="I422" s="24">
        <f>SUM(Q413:Q421)</f>
        <v>1770.64</v>
      </c>
      <c r="J422" s="21">
        <f>Source!BZ207</f>
        <v>87</v>
      </c>
      <c r="K422" s="24">
        <f>SUM(R413:R421)</f>
        <v>44584.41</v>
      </c>
    </row>
    <row r="423" spans="1:35" ht="14.25" x14ac:dyDescent="0.2">
      <c r="A423" s="20"/>
      <c r="B423" s="20"/>
      <c r="C423" s="20" t="s">
        <v>1012</v>
      </c>
      <c r="D423" s="22" t="s">
        <v>1011</v>
      </c>
      <c r="E423" s="21">
        <f>Source!DO207</f>
        <v>70</v>
      </c>
      <c r="F423" s="24"/>
      <c r="G423" s="23"/>
      <c r="H423" s="21"/>
      <c r="I423" s="24">
        <f>SUM(S413:S422)</f>
        <v>1191.78</v>
      </c>
      <c r="J423" s="21">
        <f>Source!CA207</f>
        <v>41</v>
      </c>
      <c r="K423" s="24">
        <f>SUM(T413:T422)</f>
        <v>21011.040000000001</v>
      </c>
    </row>
    <row r="424" spans="1:35" ht="14.25" x14ac:dyDescent="0.2">
      <c r="A424" s="20"/>
      <c r="B424" s="20"/>
      <c r="C424" s="20" t="s">
        <v>1018</v>
      </c>
      <c r="D424" s="22" t="s">
        <v>1011</v>
      </c>
      <c r="E424" s="21">
        <f>175</f>
        <v>175</v>
      </c>
      <c r="F424" s="24"/>
      <c r="G424" s="23"/>
      <c r="H424" s="21"/>
      <c r="I424" s="24">
        <f>SUM(U413:U423)</f>
        <v>38.92</v>
      </c>
      <c r="J424" s="21">
        <f>160</f>
        <v>160</v>
      </c>
      <c r="K424" s="24">
        <f>SUM(V413:V423)</f>
        <v>1071.07</v>
      </c>
    </row>
    <row r="425" spans="1:35" ht="14.25" x14ac:dyDescent="0.2">
      <c r="A425" s="26"/>
      <c r="B425" s="26"/>
      <c r="C425" s="26" t="s">
        <v>1013</v>
      </c>
      <c r="D425" s="27" t="s">
        <v>1014</v>
      </c>
      <c r="E425" s="28">
        <f>Source!AQ207</f>
        <v>84.08</v>
      </c>
      <c r="F425" s="29"/>
      <c r="G425" s="30" t="str">
        <f>Source!DI207</f>
        <v>)*1,15</v>
      </c>
      <c r="H425" s="28">
        <f>Source!AV207</f>
        <v>1</v>
      </c>
      <c r="I425" s="29">
        <f>Source!U207</f>
        <v>145.03799999999998</v>
      </c>
      <c r="J425" s="28"/>
      <c r="K425" s="29"/>
      <c r="AB425" s="25">
        <f>I425</f>
        <v>145.03799999999998</v>
      </c>
    </row>
    <row r="426" spans="1:35" ht="15" x14ac:dyDescent="0.25">
      <c r="C426" s="13" t="s">
        <v>1015</v>
      </c>
      <c r="H426" s="50">
        <f>I415+I416+I418+I422+I423+I424+SUM(I419:I421)</f>
        <v>29871.32</v>
      </c>
      <c r="I426" s="50"/>
      <c r="J426" s="50">
        <f>K415+K416+K418+K422+K423+K424+SUM(K419:K421)</f>
        <v>269922.07000000007</v>
      </c>
      <c r="K426" s="50"/>
      <c r="O426" s="25">
        <f>I415+I416+I418+I422+I423+I424+SUM(I419:I421)</f>
        <v>29871.32</v>
      </c>
      <c r="P426" s="25">
        <f>K415+K416+K418+K422+K423+K424+SUM(K419:K421)</f>
        <v>269922.07000000007</v>
      </c>
      <c r="X426">
        <f>IF(Source!BI207&lt;=1,I415+I416+I418+I422+I423+I424-0, 0)</f>
        <v>5906.76</v>
      </c>
      <c r="Y426">
        <f>IF(Source!BI207=2,I415+I416+I418+I422+I423+I424-0, 0)</f>
        <v>0</v>
      </c>
      <c r="Z426">
        <f>IF(Source!BI207=3,I415+I416+I418+I422+I423+I424-0, 0)</f>
        <v>0</v>
      </c>
      <c r="AA426">
        <f>IF(Source!BI207=4,I415+I416+I418+I422+I423+I424,0)</f>
        <v>0</v>
      </c>
    </row>
    <row r="428" spans="1:35" ht="71.25" x14ac:dyDescent="0.2">
      <c r="A428" s="20">
        <v>32</v>
      </c>
      <c r="B428" s="20" t="str">
        <f>Source!F211</f>
        <v>3.11-43-4</v>
      </c>
      <c r="C428" s="20" t="s">
        <v>452</v>
      </c>
      <c r="D428" s="22" t="str">
        <f>Source!H211</f>
        <v>100 м2</v>
      </c>
      <c r="E428" s="21">
        <f>Source!I211</f>
        <v>0.05</v>
      </c>
      <c r="F428" s="24"/>
      <c r="G428" s="23"/>
      <c r="H428" s="21"/>
      <c r="I428" s="24"/>
      <c r="J428" s="21"/>
      <c r="K428" s="24"/>
      <c r="Q428">
        <f>ROUND((Source!DN211/100)*ROUND((ROUND((Source!AF211*Source!AV211*Source!I211),2)),2), 2)</f>
        <v>209.91</v>
      </c>
      <c r="R428">
        <f>Source!X211</f>
        <v>5285.58</v>
      </c>
      <c r="S428">
        <f>ROUND((Source!DO211/100)*ROUND((ROUND((Source!AF211*Source!AV211*Source!I211),2)),2), 2)</f>
        <v>141.29</v>
      </c>
      <c r="T428">
        <f>Source!Y211</f>
        <v>2490.91</v>
      </c>
      <c r="U428">
        <f>ROUND((175/100)*ROUND((ROUND((Source!AE211*Source!AV211*Source!I211),2)),2), 2)</f>
        <v>5.08</v>
      </c>
      <c r="V428">
        <f>ROUND((160/100)*ROUND(ROUND((ROUND((Source!AE211*Source!AV211*Source!I211),2)*Source!BS211),2), 2), 2)</f>
        <v>139.66</v>
      </c>
      <c r="AI428">
        <v>0</v>
      </c>
    </row>
    <row r="429" spans="1:35" x14ac:dyDescent="0.2">
      <c r="C429" s="31" t="str">
        <f>"Объем: "&amp;Source!I211&amp;"=5/"&amp;"100"</f>
        <v>Объем: 0,05=5/100</v>
      </c>
    </row>
    <row r="430" spans="1:35" ht="14.25" x14ac:dyDescent="0.2">
      <c r="A430" s="20"/>
      <c r="B430" s="20"/>
      <c r="C430" s="20" t="s">
        <v>1009</v>
      </c>
      <c r="D430" s="22"/>
      <c r="E430" s="21"/>
      <c r="F430" s="24">
        <f>Source!AO211</f>
        <v>3510.25</v>
      </c>
      <c r="G430" s="23" t="str">
        <f>Source!DG211</f>
        <v>)*1,15</v>
      </c>
      <c r="H430" s="21">
        <f>Source!AV211</f>
        <v>1</v>
      </c>
      <c r="I430" s="24">
        <f>ROUND((ROUND((Source!AF211*Source!AV211*Source!I211),2)),2)</f>
        <v>201.84</v>
      </c>
      <c r="J430" s="21">
        <f>IF(Source!BA211&lt;&gt; 0, Source!BA211, 1)</f>
        <v>30.1</v>
      </c>
      <c r="K430" s="24">
        <f>Source!S211</f>
        <v>6075.38</v>
      </c>
      <c r="W430">
        <f>I430</f>
        <v>201.84</v>
      </c>
    </row>
    <row r="431" spans="1:35" ht="14.25" x14ac:dyDescent="0.2">
      <c r="A431" s="20"/>
      <c r="B431" s="20"/>
      <c r="C431" s="20" t="s">
        <v>1016</v>
      </c>
      <c r="D431" s="22"/>
      <c r="E431" s="21"/>
      <c r="F431" s="24">
        <f>Source!AM211</f>
        <v>195.32</v>
      </c>
      <c r="G431" s="23" t="str">
        <f>Source!DE211</f>
        <v>)*1,25</v>
      </c>
      <c r="H431" s="21">
        <f>Source!AV211</f>
        <v>1</v>
      </c>
      <c r="I431" s="24">
        <f>(ROUND((ROUND((((Source!ET211*1.25))*Source!AV211*Source!I211),2)),2)+ROUND((ROUND(((Source!AE211-((Source!EU211*1.25)))*Source!AV211*Source!I211),2)),2))</f>
        <v>12.21</v>
      </c>
      <c r="J431" s="21">
        <f>IF(Source!BB211&lt;&gt; 0, Source!BB211, 1)</f>
        <v>14.41</v>
      </c>
      <c r="K431" s="24">
        <f>Source!Q211</f>
        <v>175.95</v>
      </c>
    </row>
    <row r="432" spans="1:35" ht="14.25" x14ac:dyDescent="0.2">
      <c r="A432" s="20"/>
      <c r="B432" s="20"/>
      <c r="C432" s="20" t="s">
        <v>1017</v>
      </c>
      <c r="D432" s="22"/>
      <c r="E432" s="21"/>
      <c r="F432" s="24">
        <f>Source!AN211</f>
        <v>46.44</v>
      </c>
      <c r="G432" s="23" t="str">
        <f>Source!DF211</f>
        <v>)*1,25</v>
      </c>
      <c r="H432" s="21">
        <f>Source!AV211</f>
        <v>1</v>
      </c>
      <c r="I432" s="32">
        <f>ROUND((ROUND((Source!AE211*Source!AV211*Source!I211),2)),2)</f>
        <v>2.9</v>
      </c>
      <c r="J432" s="21">
        <f>IF(Source!BS211&lt;&gt; 0, Source!BS211, 1)</f>
        <v>30.1</v>
      </c>
      <c r="K432" s="32">
        <f>Source!R211</f>
        <v>87.29</v>
      </c>
      <c r="W432">
        <f>I432</f>
        <v>2.9</v>
      </c>
    </row>
    <row r="433" spans="1:35" ht="14.25" x14ac:dyDescent="0.2">
      <c r="A433" s="20"/>
      <c r="B433" s="20"/>
      <c r="C433" s="20" t="s">
        <v>1019</v>
      </c>
      <c r="D433" s="22"/>
      <c r="E433" s="21"/>
      <c r="F433" s="24">
        <f>Source!AL211</f>
        <v>3.45</v>
      </c>
      <c r="G433" s="23" t="str">
        <f>Source!DD211</f>
        <v/>
      </c>
      <c r="H433" s="21">
        <f>Source!AW211</f>
        <v>1</v>
      </c>
      <c r="I433" s="24">
        <f>ROUND((ROUND((Source!AC211*Source!AW211*Source!I211),2)),2)</f>
        <v>0.17</v>
      </c>
      <c r="J433" s="21">
        <f>IF(Source!BC211&lt;&gt; 0, Source!BC211, 1)</f>
        <v>6</v>
      </c>
      <c r="K433" s="24">
        <f>Source!P211</f>
        <v>1.02</v>
      </c>
    </row>
    <row r="434" spans="1:35" ht="71.25" x14ac:dyDescent="0.2">
      <c r="A434" s="20" t="s">
        <v>456</v>
      </c>
      <c r="B434" s="20" t="str">
        <f>Source!F212</f>
        <v>1.3-2-138</v>
      </c>
      <c r="C434" s="20" t="s">
        <v>443</v>
      </c>
      <c r="D434" s="22" t="str">
        <f>Source!H212</f>
        <v>т</v>
      </c>
      <c r="E434" s="21">
        <f>Source!I212</f>
        <v>2E-3</v>
      </c>
      <c r="F434" s="24">
        <f>Source!AK212</f>
        <v>27362.67</v>
      </c>
      <c r="G434" s="33" t="s">
        <v>3</v>
      </c>
      <c r="H434" s="21">
        <f>Source!AW212</f>
        <v>1</v>
      </c>
      <c r="I434" s="24">
        <f>ROUND((ROUND((Source!AC212*Source!AW212*Source!I212),2)),2)+(ROUND((ROUND(((Source!ET212)*Source!AV212*Source!I212),2)),2)+ROUND((ROUND(((Source!AE212-(Source!EU212))*Source!AV212*Source!I212),2)),2))+ROUND((ROUND((Source!AF212*Source!AV212*Source!I212),2)),2)</f>
        <v>54.73</v>
      </c>
      <c r="J434" s="21">
        <f>IF(Source!BC212&lt;&gt; 0, Source!BC212, 1)</f>
        <v>3.34</v>
      </c>
      <c r="K434" s="24">
        <f>Source!O212</f>
        <v>182.8</v>
      </c>
      <c r="Q434">
        <f>ROUND((Source!DN212/100)*ROUND((ROUND((Source!AF212*Source!AV212*Source!I212),2)),2), 2)</f>
        <v>0</v>
      </c>
      <c r="R434">
        <f>Source!X212</f>
        <v>0</v>
      </c>
      <c r="S434">
        <f>ROUND((Source!DO212/100)*ROUND((ROUND((Source!AF212*Source!AV212*Source!I212),2)),2), 2)</f>
        <v>0</v>
      </c>
      <c r="T434">
        <f>Source!Y212</f>
        <v>0</v>
      </c>
      <c r="U434">
        <f>ROUND((175/100)*ROUND((ROUND((Source!AE212*Source!AV212*Source!I212),2)),2), 2)</f>
        <v>0</v>
      </c>
      <c r="V434">
        <f>ROUND((160/100)*ROUND(ROUND((ROUND((Source!AE212*Source!AV212*Source!I212),2)*Source!BS212),2), 2), 2)</f>
        <v>0</v>
      </c>
      <c r="X434">
        <f>IF(Source!BI212&lt;=1,I434, 0)</f>
        <v>54.73</v>
      </c>
      <c r="Y434">
        <f>IF(Source!BI212=2,I434, 0)</f>
        <v>0</v>
      </c>
      <c r="Z434">
        <f>IF(Source!BI212=3,I434, 0)</f>
        <v>0</v>
      </c>
      <c r="AA434">
        <f>IF(Source!BI212=4,I434, 0)</f>
        <v>0</v>
      </c>
      <c r="AI434">
        <v>3</v>
      </c>
    </row>
    <row r="435" spans="1:35" ht="99.75" x14ac:dyDescent="0.2">
      <c r="A435" s="20" t="s">
        <v>457</v>
      </c>
      <c r="B435" s="20" t="str">
        <f>Source!F213</f>
        <v>1.3-2-167</v>
      </c>
      <c r="C435" s="20" t="s">
        <v>445</v>
      </c>
      <c r="D435" s="22" t="str">
        <f>Source!H213</f>
        <v>т</v>
      </c>
      <c r="E435" s="21">
        <f>Source!I213</f>
        <v>4.2744999999999998E-2</v>
      </c>
      <c r="F435" s="24">
        <f>Source!AK213</f>
        <v>3971.63</v>
      </c>
      <c r="G435" s="33" t="s">
        <v>3</v>
      </c>
      <c r="H435" s="21">
        <f>Source!AW213</f>
        <v>1</v>
      </c>
      <c r="I435" s="24">
        <f>ROUND((ROUND((Source!AC213*Source!AW213*Source!I213),2)),2)+(ROUND((ROUND(((Source!ET213)*Source!AV213*Source!I213),2)),2)+ROUND((ROUND(((Source!AE213-(Source!EU213))*Source!AV213*Source!I213),2)),2))+ROUND((ROUND((Source!AF213*Source!AV213*Source!I213),2)),2)</f>
        <v>169.77</v>
      </c>
      <c r="J435" s="21">
        <f>IF(Source!BC213&lt;&gt; 0, Source!BC213, 1)</f>
        <v>3.15</v>
      </c>
      <c r="K435" s="24">
        <f>Source!O213</f>
        <v>534.78</v>
      </c>
      <c r="Q435">
        <f>ROUND((Source!DN213/100)*ROUND((ROUND((Source!AF213*Source!AV213*Source!I213),2)),2), 2)</f>
        <v>0</v>
      </c>
      <c r="R435">
        <f>Source!X213</f>
        <v>0</v>
      </c>
      <c r="S435">
        <f>ROUND((Source!DO213/100)*ROUND((ROUND((Source!AF213*Source!AV213*Source!I213),2)),2), 2)</f>
        <v>0</v>
      </c>
      <c r="T435">
        <f>Source!Y213</f>
        <v>0</v>
      </c>
      <c r="U435">
        <f>ROUND((175/100)*ROUND((ROUND((Source!AE213*Source!AV213*Source!I213),2)),2), 2)</f>
        <v>0</v>
      </c>
      <c r="V435">
        <f>ROUND((160/100)*ROUND(ROUND((ROUND((Source!AE213*Source!AV213*Source!I213),2)*Source!BS213),2), 2), 2)</f>
        <v>0</v>
      </c>
      <c r="X435">
        <f>IF(Source!BI213&lt;=1,I435, 0)</f>
        <v>169.77</v>
      </c>
      <c r="Y435">
        <f>IF(Source!BI213=2,I435, 0)</f>
        <v>0</v>
      </c>
      <c r="Z435">
        <f>IF(Source!BI213=3,I435, 0)</f>
        <v>0</v>
      </c>
      <c r="AA435">
        <f>IF(Source!BI213=4,I435, 0)</f>
        <v>0</v>
      </c>
      <c r="AI435">
        <v>3</v>
      </c>
    </row>
    <row r="436" spans="1:35" ht="42.75" x14ac:dyDescent="0.2">
      <c r="A436" s="20" t="s">
        <v>458</v>
      </c>
      <c r="B436" s="20" t="str">
        <f>Source!F214</f>
        <v>1.1-1-4104</v>
      </c>
      <c r="C436" s="20" t="s">
        <v>448</v>
      </c>
      <c r="D436" s="22" t="str">
        <f>Source!H214</f>
        <v>м2</v>
      </c>
      <c r="E436" s="21">
        <f>Source!I214</f>
        <v>5.6</v>
      </c>
      <c r="F436" s="24">
        <f>Source!AK214</f>
        <v>127.6</v>
      </c>
      <c r="G436" s="33" t="s">
        <v>3</v>
      </c>
      <c r="H436" s="21">
        <f>Source!AW214</f>
        <v>1</v>
      </c>
      <c r="I436" s="24">
        <f>ROUND((ROUND((Source!AC214*Source!AW214*Source!I214),2)),2)+(ROUND((ROUND(((Source!ET214)*Source!AV214*Source!I214),2)),2)+ROUND((ROUND(((Source!AE214-(Source!EU214))*Source!AV214*Source!I214),2)),2))+ROUND((ROUND((Source!AF214*Source!AV214*Source!I214),2)),2)</f>
        <v>714.56</v>
      </c>
      <c r="J436" s="21">
        <f>IF(Source!BC214&lt;&gt; 0, Source!BC214, 1)</f>
        <v>6.76</v>
      </c>
      <c r="K436" s="24">
        <f>Source!O214</f>
        <v>4830.43</v>
      </c>
      <c r="Q436">
        <f>ROUND((Source!DN214/100)*ROUND((ROUND((Source!AF214*Source!AV214*Source!I214),2)),2), 2)</f>
        <v>0</v>
      </c>
      <c r="R436">
        <f>Source!X214</f>
        <v>0</v>
      </c>
      <c r="S436">
        <f>ROUND((Source!DO214/100)*ROUND((ROUND((Source!AF214*Source!AV214*Source!I214),2)),2), 2)</f>
        <v>0</v>
      </c>
      <c r="T436">
        <f>Source!Y214</f>
        <v>0</v>
      </c>
      <c r="U436">
        <f>ROUND((175/100)*ROUND((ROUND((Source!AE214*Source!AV214*Source!I214),2)),2), 2)</f>
        <v>0</v>
      </c>
      <c r="V436">
        <f>ROUND((160/100)*ROUND(ROUND((ROUND((Source!AE214*Source!AV214*Source!I214),2)*Source!BS214),2), 2), 2)</f>
        <v>0</v>
      </c>
      <c r="X436">
        <f>IF(Source!BI214&lt;=1,I436, 0)</f>
        <v>714.56</v>
      </c>
      <c r="Y436">
        <f>IF(Source!BI214=2,I436, 0)</f>
        <v>0</v>
      </c>
      <c r="Z436">
        <f>IF(Source!BI214=3,I436, 0)</f>
        <v>0</v>
      </c>
      <c r="AA436">
        <f>IF(Source!BI214=4,I436, 0)</f>
        <v>0</v>
      </c>
      <c r="AI436">
        <v>3</v>
      </c>
    </row>
    <row r="437" spans="1:35" ht="14.25" x14ac:dyDescent="0.2">
      <c r="A437" s="20"/>
      <c r="B437" s="20"/>
      <c r="C437" s="20" t="s">
        <v>1010</v>
      </c>
      <c r="D437" s="22" t="s">
        <v>1011</v>
      </c>
      <c r="E437" s="21">
        <f>Source!DN211</f>
        <v>104</v>
      </c>
      <c r="F437" s="24"/>
      <c r="G437" s="23"/>
      <c r="H437" s="21"/>
      <c r="I437" s="24">
        <f>SUM(Q428:Q436)</f>
        <v>209.91</v>
      </c>
      <c r="J437" s="21">
        <f>Source!BZ211</f>
        <v>87</v>
      </c>
      <c r="K437" s="24">
        <f>SUM(R428:R436)</f>
        <v>5285.58</v>
      </c>
    </row>
    <row r="438" spans="1:35" ht="14.25" x14ac:dyDescent="0.2">
      <c r="A438" s="20"/>
      <c r="B438" s="20"/>
      <c r="C438" s="20" t="s">
        <v>1012</v>
      </c>
      <c r="D438" s="22" t="s">
        <v>1011</v>
      </c>
      <c r="E438" s="21">
        <f>Source!DO211</f>
        <v>70</v>
      </c>
      <c r="F438" s="24"/>
      <c r="G438" s="23"/>
      <c r="H438" s="21"/>
      <c r="I438" s="24">
        <f>SUM(S428:S437)</f>
        <v>141.29</v>
      </c>
      <c r="J438" s="21">
        <f>Source!CA211</f>
        <v>41</v>
      </c>
      <c r="K438" s="24">
        <f>SUM(T428:T437)</f>
        <v>2490.91</v>
      </c>
    </row>
    <row r="439" spans="1:35" ht="14.25" x14ac:dyDescent="0.2">
      <c r="A439" s="20"/>
      <c r="B439" s="20"/>
      <c r="C439" s="20" t="s">
        <v>1018</v>
      </c>
      <c r="D439" s="22" t="s">
        <v>1011</v>
      </c>
      <c r="E439" s="21">
        <f>175</f>
        <v>175</v>
      </c>
      <c r="F439" s="24"/>
      <c r="G439" s="23"/>
      <c r="H439" s="21"/>
      <c r="I439" s="24">
        <f>SUM(U428:U438)</f>
        <v>5.08</v>
      </c>
      <c r="J439" s="21">
        <f>160</f>
        <v>160</v>
      </c>
      <c r="K439" s="24">
        <f>SUM(V428:V438)</f>
        <v>139.66</v>
      </c>
    </row>
    <row r="440" spans="1:35" ht="14.25" x14ac:dyDescent="0.2">
      <c r="A440" s="26"/>
      <c r="B440" s="26"/>
      <c r="C440" s="26" t="s">
        <v>1013</v>
      </c>
      <c r="D440" s="27" t="s">
        <v>1014</v>
      </c>
      <c r="E440" s="28">
        <f>Source!AQ211</f>
        <v>241.42</v>
      </c>
      <c r="F440" s="29"/>
      <c r="G440" s="30" t="str">
        <f>Source!DI211</f>
        <v>)*1,15</v>
      </c>
      <c r="H440" s="28">
        <f>Source!AV211</f>
        <v>1</v>
      </c>
      <c r="I440" s="29">
        <f>Source!U211</f>
        <v>13.88165</v>
      </c>
      <c r="J440" s="28"/>
      <c r="K440" s="29"/>
      <c r="AB440" s="25">
        <f>I440</f>
        <v>13.88165</v>
      </c>
    </row>
    <row r="441" spans="1:35" ht="15" x14ac:dyDescent="0.25">
      <c r="C441" s="13" t="s">
        <v>1015</v>
      </c>
      <c r="H441" s="50">
        <f>I430+I431+I433+I437+I438+I439+SUM(I434:I436)</f>
        <v>1509.56</v>
      </c>
      <c r="I441" s="50"/>
      <c r="J441" s="50">
        <f>K430+K431+K433+K437+K438+K439+SUM(K434:K436)</f>
        <v>19716.510000000002</v>
      </c>
      <c r="K441" s="50"/>
      <c r="O441" s="25">
        <f>I430+I431+I433+I437+I438+I439+SUM(I434:I436)</f>
        <v>1509.56</v>
      </c>
      <c r="P441" s="25">
        <f>K430+K431+K433+K437+K438+K439+SUM(K434:K436)</f>
        <v>19716.510000000002</v>
      </c>
      <c r="X441">
        <f>IF(Source!BI211&lt;=1,I430+I431+I433+I437+I438+I439-0, 0)</f>
        <v>570.5</v>
      </c>
      <c r="Y441">
        <f>IF(Source!BI211=2,I430+I431+I433+I437+I438+I439-0, 0)</f>
        <v>0</v>
      </c>
      <c r="Z441">
        <f>IF(Source!BI211=3,I430+I431+I433+I437+I438+I439-0, 0)</f>
        <v>0</v>
      </c>
      <c r="AA441">
        <f>IF(Source!BI211=4,I430+I431+I433+I437+I438+I439,0)</f>
        <v>0</v>
      </c>
    </row>
    <row r="443" spans="1:35" ht="42.75" x14ac:dyDescent="0.2">
      <c r="A443" s="20">
        <v>33</v>
      </c>
      <c r="B443" s="20" t="str">
        <f>Source!F215</f>
        <v>3.11-28-8</v>
      </c>
      <c r="C443" s="20" t="s">
        <v>461</v>
      </c>
      <c r="D443" s="22" t="str">
        <f>Source!H215</f>
        <v>100 м</v>
      </c>
      <c r="E443" s="21">
        <f>Source!I215</f>
        <v>0.28000000000000003</v>
      </c>
      <c r="F443" s="24"/>
      <c r="G443" s="23"/>
      <c r="H443" s="21"/>
      <c r="I443" s="24"/>
      <c r="J443" s="21"/>
      <c r="K443" s="24"/>
      <c r="Q443">
        <f>ROUND((Source!DN215/100)*ROUND((ROUND((Source!AF215*Source!AV215*Source!I215),2)),2), 2)</f>
        <v>120.36</v>
      </c>
      <c r="R443">
        <f>Source!X215</f>
        <v>3030.62</v>
      </c>
      <c r="S443">
        <f>ROUND((Source!DO215/100)*ROUND((ROUND((Source!AF215*Source!AV215*Source!I215),2)),2), 2)</f>
        <v>81.010000000000005</v>
      </c>
      <c r="T443">
        <f>Source!Y215</f>
        <v>1428.22</v>
      </c>
      <c r="U443">
        <f>ROUND((175/100)*ROUND((ROUND((Source!AE215*Source!AV215*Source!I215),2)),2), 2)</f>
        <v>0.23</v>
      </c>
      <c r="V443">
        <f>ROUND((160/100)*ROUND(ROUND((ROUND((Source!AE215*Source!AV215*Source!I215),2)*Source!BS215),2), 2), 2)</f>
        <v>6.26</v>
      </c>
      <c r="AI443">
        <v>0</v>
      </c>
    </row>
    <row r="444" spans="1:35" x14ac:dyDescent="0.2">
      <c r="C444" s="31" t="str">
        <f>"Объем: "&amp;Source!I215&amp;"=28/"&amp;"100"</f>
        <v>Объем: 0,28=28/100</v>
      </c>
    </row>
    <row r="445" spans="1:35" ht="14.25" x14ac:dyDescent="0.2">
      <c r="A445" s="20"/>
      <c r="B445" s="20"/>
      <c r="C445" s="20" t="s">
        <v>1009</v>
      </c>
      <c r="D445" s="22"/>
      <c r="E445" s="21"/>
      <c r="F445" s="24">
        <f>Source!AO215</f>
        <v>359.42</v>
      </c>
      <c r="G445" s="23" t="str">
        <f>Source!DG215</f>
        <v>)*1,15</v>
      </c>
      <c r="H445" s="21">
        <f>Source!AV215</f>
        <v>1</v>
      </c>
      <c r="I445" s="24">
        <f>ROUND((ROUND((Source!AF215*Source!AV215*Source!I215),2)),2)</f>
        <v>115.73</v>
      </c>
      <c r="J445" s="21">
        <f>IF(Source!BA215&lt;&gt; 0, Source!BA215, 1)</f>
        <v>30.1</v>
      </c>
      <c r="K445" s="24">
        <f>Source!S215</f>
        <v>3483.47</v>
      </c>
      <c r="W445">
        <f>I445</f>
        <v>115.73</v>
      </c>
    </row>
    <row r="446" spans="1:35" ht="14.25" x14ac:dyDescent="0.2">
      <c r="A446" s="20"/>
      <c r="B446" s="20"/>
      <c r="C446" s="20" t="s">
        <v>1016</v>
      </c>
      <c r="D446" s="22"/>
      <c r="E446" s="21"/>
      <c r="F446" s="24">
        <f>Source!AM215</f>
        <v>2.63</v>
      </c>
      <c r="G446" s="23" t="str">
        <f>Source!DE215</f>
        <v>)*1,25</v>
      </c>
      <c r="H446" s="21">
        <f>Source!AV215</f>
        <v>1</v>
      </c>
      <c r="I446" s="24">
        <f>(ROUND((ROUND((((Source!ET215*1.25))*Source!AV215*Source!I215),2)),2)+ROUND((ROUND(((Source!AE215-((Source!EU215*1.25)))*Source!AV215*Source!I215),2)),2))</f>
        <v>0.92</v>
      </c>
      <c r="J446" s="21">
        <f>IF(Source!BB215&lt;&gt; 0, Source!BB215, 1)</f>
        <v>11.9</v>
      </c>
      <c r="K446" s="24">
        <f>Source!Q215</f>
        <v>10.95</v>
      </c>
    </row>
    <row r="447" spans="1:35" ht="14.25" x14ac:dyDescent="0.2">
      <c r="A447" s="20"/>
      <c r="B447" s="20"/>
      <c r="C447" s="20" t="s">
        <v>1017</v>
      </c>
      <c r="D447" s="22"/>
      <c r="E447" s="21"/>
      <c r="F447" s="24">
        <f>Source!AN215</f>
        <v>0.38</v>
      </c>
      <c r="G447" s="23" t="str">
        <f>Source!DF215</f>
        <v>)*1,25</v>
      </c>
      <c r="H447" s="21">
        <f>Source!AV215</f>
        <v>1</v>
      </c>
      <c r="I447" s="32">
        <f>ROUND((ROUND((Source!AE215*Source!AV215*Source!I215),2)),2)</f>
        <v>0.13</v>
      </c>
      <c r="J447" s="21">
        <f>IF(Source!BS215&lt;&gt; 0, Source!BS215, 1)</f>
        <v>30.1</v>
      </c>
      <c r="K447" s="32">
        <f>Source!R215</f>
        <v>3.91</v>
      </c>
      <c r="W447">
        <f>I447</f>
        <v>0.13</v>
      </c>
    </row>
    <row r="448" spans="1:35" ht="14.25" x14ac:dyDescent="0.2">
      <c r="A448" s="20"/>
      <c r="B448" s="20"/>
      <c r="C448" s="20" t="s">
        <v>1019</v>
      </c>
      <c r="D448" s="22"/>
      <c r="E448" s="21"/>
      <c r="F448" s="24">
        <f>Source!AL215</f>
        <v>7.0000000000000007E-2</v>
      </c>
      <c r="G448" s="23" t="str">
        <f>Source!DD215</f>
        <v/>
      </c>
      <c r="H448" s="21">
        <f>Source!AW215</f>
        <v>1</v>
      </c>
      <c r="I448" s="24">
        <f>ROUND((ROUND((Source!AC215*Source!AW215*Source!I215),2)),2)</f>
        <v>0.02</v>
      </c>
      <c r="J448" s="21">
        <f>IF(Source!BC215&lt;&gt; 0, Source!BC215, 1)</f>
        <v>6</v>
      </c>
      <c r="K448" s="24">
        <f>Source!P215</f>
        <v>0.12</v>
      </c>
    </row>
    <row r="449" spans="1:35" ht="71.25" x14ac:dyDescent="0.2">
      <c r="A449" s="20" t="s">
        <v>465</v>
      </c>
      <c r="B449" s="20" t="str">
        <f>Source!F216</f>
        <v>1.3-2-138</v>
      </c>
      <c r="C449" s="20" t="s">
        <v>443</v>
      </c>
      <c r="D449" s="22" t="str">
        <f>Source!H216</f>
        <v>т</v>
      </c>
      <c r="E449" s="21">
        <f>Source!I216</f>
        <v>1.6799999999999999E-3</v>
      </c>
      <c r="F449" s="24">
        <f>Source!AK216</f>
        <v>27362.67</v>
      </c>
      <c r="G449" s="33" t="s">
        <v>3</v>
      </c>
      <c r="H449" s="21">
        <f>Source!AW216</f>
        <v>1</v>
      </c>
      <c r="I449" s="24">
        <f>ROUND((ROUND((Source!AC216*Source!AW216*Source!I216),2)),2)+(ROUND((ROUND(((Source!ET216)*Source!AV216*Source!I216),2)),2)+ROUND((ROUND(((Source!AE216-(Source!EU216))*Source!AV216*Source!I216),2)),2))+ROUND((ROUND((Source!AF216*Source!AV216*Source!I216),2)),2)</f>
        <v>45.97</v>
      </c>
      <c r="J449" s="21">
        <f>IF(Source!BC216&lt;&gt; 0, Source!BC216, 1)</f>
        <v>3.34</v>
      </c>
      <c r="K449" s="24">
        <f>Source!O216</f>
        <v>153.54</v>
      </c>
      <c r="Q449">
        <f>ROUND((Source!DN216/100)*ROUND((ROUND((Source!AF216*Source!AV216*Source!I216),2)),2), 2)</f>
        <v>0</v>
      </c>
      <c r="R449">
        <f>Source!X216</f>
        <v>0</v>
      </c>
      <c r="S449">
        <f>ROUND((Source!DO216/100)*ROUND((ROUND((Source!AF216*Source!AV216*Source!I216),2)),2), 2)</f>
        <v>0</v>
      </c>
      <c r="T449">
        <f>Source!Y216</f>
        <v>0</v>
      </c>
      <c r="U449">
        <f>ROUND((175/100)*ROUND((ROUND((Source!AE216*Source!AV216*Source!I216),2)),2), 2)</f>
        <v>0</v>
      </c>
      <c r="V449">
        <f>ROUND((160/100)*ROUND(ROUND((ROUND((Source!AE216*Source!AV216*Source!I216),2)*Source!BS216),2), 2), 2)</f>
        <v>0</v>
      </c>
      <c r="X449">
        <f>IF(Source!BI216&lt;=1,I449, 0)</f>
        <v>45.97</v>
      </c>
      <c r="Y449">
        <f>IF(Source!BI216=2,I449, 0)</f>
        <v>0</v>
      </c>
      <c r="Z449">
        <f>IF(Source!BI216=3,I449, 0)</f>
        <v>0</v>
      </c>
      <c r="AA449">
        <f>IF(Source!BI216=4,I449, 0)</f>
        <v>0</v>
      </c>
      <c r="AI449">
        <v>3</v>
      </c>
    </row>
    <row r="450" spans="1:35" ht="99.75" x14ac:dyDescent="0.2">
      <c r="A450" s="20" t="s">
        <v>466</v>
      </c>
      <c r="B450" s="20" t="str">
        <f>Source!F217</f>
        <v>1.3-2-167</v>
      </c>
      <c r="C450" s="20" t="s">
        <v>445</v>
      </c>
      <c r="D450" s="22" t="str">
        <f>Source!H217</f>
        <v>т</v>
      </c>
      <c r="E450" s="21">
        <f>Source!I217</f>
        <v>1.204E-2</v>
      </c>
      <c r="F450" s="24">
        <f>Source!AK217</f>
        <v>3971.63</v>
      </c>
      <c r="G450" s="33" t="s">
        <v>3</v>
      </c>
      <c r="H450" s="21">
        <f>Source!AW217</f>
        <v>1</v>
      </c>
      <c r="I450" s="24">
        <f>ROUND((ROUND((Source!AC217*Source!AW217*Source!I217),2)),2)+(ROUND((ROUND(((Source!ET217)*Source!AV217*Source!I217),2)),2)+ROUND((ROUND(((Source!AE217-(Source!EU217))*Source!AV217*Source!I217),2)),2))+ROUND((ROUND((Source!AF217*Source!AV217*Source!I217),2)),2)</f>
        <v>47.82</v>
      </c>
      <c r="J450" s="21">
        <f>IF(Source!BC217&lt;&gt; 0, Source!BC217, 1)</f>
        <v>3.15</v>
      </c>
      <c r="K450" s="24">
        <f>Source!O217</f>
        <v>150.63</v>
      </c>
      <c r="Q450">
        <f>ROUND((Source!DN217/100)*ROUND((ROUND((Source!AF217*Source!AV217*Source!I217),2)),2), 2)</f>
        <v>0</v>
      </c>
      <c r="R450">
        <f>Source!X217</f>
        <v>0</v>
      </c>
      <c r="S450">
        <f>ROUND((Source!DO217/100)*ROUND((ROUND((Source!AF217*Source!AV217*Source!I217),2)),2), 2)</f>
        <v>0</v>
      </c>
      <c r="T450">
        <f>Source!Y217</f>
        <v>0</v>
      </c>
      <c r="U450">
        <f>ROUND((175/100)*ROUND((ROUND((Source!AE217*Source!AV217*Source!I217),2)),2), 2)</f>
        <v>0</v>
      </c>
      <c r="V450">
        <f>ROUND((160/100)*ROUND(ROUND((ROUND((Source!AE217*Source!AV217*Source!I217),2)*Source!BS217),2), 2), 2)</f>
        <v>0</v>
      </c>
      <c r="X450">
        <f>IF(Source!BI217&lt;=1,I450, 0)</f>
        <v>47.82</v>
      </c>
      <c r="Y450">
        <f>IF(Source!BI217=2,I450, 0)</f>
        <v>0</v>
      </c>
      <c r="Z450">
        <f>IF(Source!BI217=3,I450, 0)</f>
        <v>0</v>
      </c>
      <c r="AA450">
        <f>IF(Source!BI217=4,I450, 0)</f>
        <v>0</v>
      </c>
      <c r="AI450">
        <v>3</v>
      </c>
    </row>
    <row r="451" spans="1:35" ht="42.75" x14ac:dyDescent="0.2">
      <c r="A451" s="20" t="s">
        <v>467</v>
      </c>
      <c r="B451" s="20" t="str">
        <f>Source!F218</f>
        <v>1.1-1-4104</v>
      </c>
      <c r="C451" s="20" t="s">
        <v>448</v>
      </c>
      <c r="D451" s="22" t="str">
        <f>Source!H218</f>
        <v>м2</v>
      </c>
      <c r="E451" s="21">
        <f>Source!I218</f>
        <v>2.8559999999999999</v>
      </c>
      <c r="F451" s="24">
        <f>Source!AK218</f>
        <v>127.6</v>
      </c>
      <c r="G451" s="33" t="s">
        <v>3</v>
      </c>
      <c r="H451" s="21">
        <f>Source!AW218</f>
        <v>1</v>
      </c>
      <c r="I451" s="24">
        <f>ROUND((ROUND((Source!AC218*Source!AW218*Source!I218),2)),2)+(ROUND((ROUND(((Source!ET218)*Source!AV218*Source!I218),2)),2)+ROUND((ROUND(((Source!AE218-(Source!EU218))*Source!AV218*Source!I218),2)),2))+ROUND((ROUND((Source!AF218*Source!AV218*Source!I218),2)),2)</f>
        <v>364.43</v>
      </c>
      <c r="J451" s="21">
        <f>IF(Source!BC218&lt;&gt; 0, Source!BC218, 1)</f>
        <v>6.76</v>
      </c>
      <c r="K451" s="24">
        <f>Source!O218</f>
        <v>2463.5500000000002</v>
      </c>
      <c r="Q451">
        <f>ROUND((Source!DN218/100)*ROUND((ROUND((Source!AF218*Source!AV218*Source!I218),2)),2), 2)</f>
        <v>0</v>
      </c>
      <c r="R451">
        <f>Source!X218</f>
        <v>0</v>
      </c>
      <c r="S451">
        <f>ROUND((Source!DO218/100)*ROUND((ROUND((Source!AF218*Source!AV218*Source!I218),2)),2), 2)</f>
        <v>0</v>
      </c>
      <c r="T451">
        <f>Source!Y218</f>
        <v>0</v>
      </c>
      <c r="U451">
        <f>ROUND((175/100)*ROUND((ROUND((Source!AE218*Source!AV218*Source!I218),2)),2), 2)</f>
        <v>0</v>
      </c>
      <c r="V451">
        <f>ROUND((160/100)*ROUND(ROUND((ROUND((Source!AE218*Source!AV218*Source!I218),2)*Source!BS218),2), 2), 2)</f>
        <v>0</v>
      </c>
      <c r="X451">
        <f>IF(Source!BI218&lt;=1,I451, 0)</f>
        <v>364.43</v>
      </c>
      <c r="Y451">
        <f>IF(Source!BI218=2,I451, 0)</f>
        <v>0</v>
      </c>
      <c r="Z451">
        <f>IF(Source!BI218=3,I451, 0)</f>
        <v>0</v>
      </c>
      <c r="AA451">
        <f>IF(Source!BI218=4,I451, 0)</f>
        <v>0</v>
      </c>
      <c r="AI451">
        <v>3</v>
      </c>
    </row>
    <row r="452" spans="1:35" ht="14.25" x14ac:dyDescent="0.2">
      <c r="A452" s="20"/>
      <c r="B452" s="20"/>
      <c r="C452" s="20" t="s">
        <v>1010</v>
      </c>
      <c r="D452" s="22" t="s">
        <v>1011</v>
      </c>
      <c r="E452" s="21">
        <f>Source!DN215</f>
        <v>104</v>
      </c>
      <c r="F452" s="24"/>
      <c r="G452" s="23"/>
      <c r="H452" s="21"/>
      <c r="I452" s="24">
        <f>SUM(Q443:Q451)</f>
        <v>120.36</v>
      </c>
      <c r="J452" s="21">
        <f>Source!BZ215</f>
        <v>87</v>
      </c>
      <c r="K452" s="24">
        <f>SUM(R443:R451)</f>
        <v>3030.62</v>
      </c>
    </row>
    <row r="453" spans="1:35" ht="14.25" x14ac:dyDescent="0.2">
      <c r="A453" s="20"/>
      <c r="B453" s="20"/>
      <c r="C453" s="20" t="s">
        <v>1012</v>
      </c>
      <c r="D453" s="22" t="s">
        <v>1011</v>
      </c>
      <c r="E453" s="21">
        <f>Source!DO215</f>
        <v>70</v>
      </c>
      <c r="F453" s="24"/>
      <c r="G453" s="23"/>
      <c r="H453" s="21"/>
      <c r="I453" s="24">
        <f>SUM(S443:S452)</f>
        <v>81.010000000000005</v>
      </c>
      <c r="J453" s="21">
        <f>Source!CA215</f>
        <v>41</v>
      </c>
      <c r="K453" s="24">
        <f>SUM(T443:T452)</f>
        <v>1428.22</v>
      </c>
    </row>
    <row r="454" spans="1:35" ht="14.25" x14ac:dyDescent="0.2">
      <c r="A454" s="20"/>
      <c r="B454" s="20"/>
      <c r="C454" s="20" t="s">
        <v>1018</v>
      </c>
      <c r="D454" s="22" t="s">
        <v>1011</v>
      </c>
      <c r="E454" s="21">
        <f>175</f>
        <v>175</v>
      </c>
      <c r="F454" s="24"/>
      <c r="G454" s="23"/>
      <c r="H454" s="21"/>
      <c r="I454" s="24">
        <f>SUM(U443:U453)</f>
        <v>0.23</v>
      </c>
      <c r="J454" s="21">
        <f>160</f>
        <v>160</v>
      </c>
      <c r="K454" s="24">
        <f>SUM(V443:V453)</f>
        <v>6.26</v>
      </c>
    </row>
    <row r="455" spans="1:35" ht="14.25" x14ac:dyDescent="0.2">
      <c r="A455" s="26"/>
      <c r="B455" s="26"/>
      <c r="C455" s="26" t="s">
        <v>1013</v>
      </c>
      <c r="D455" s="27" t="s">
        <v>1014</v>
      </c>
      <c r="E455" s="28">
        <f>Source!AQ215</f>
        <v>29.18</v>
      </c>
      <c r="F455" s="29"/>
      <c r="G455" s="30" t="str">
        <f>Source!DI215</f>
        <v>)*1,15</v>
      </c>
      <c r="H455" s="28">
        <f>Source!AV215</f>
        <v>1</v>
      </c>
      <c r="I455" s="29">
        <f>Source!U215</f>
        <v>9.3959599999999988</v>
      </c>
      <c r="J455" s="28"/>
      <c r="K455" s="29"/>
      <c r="AB455" s="25">
        <f>I455</f>
        <v>9.3959599999999988</v>
      </c>
    </row>
    <row r="456" spans="1:35" ht="15" x14ac:dyDescent="0.25">
      <c r="C456" s="13" t="s">
        <v>1015</v>
      </c>
      <c r="H456" s="50">
        <f>I445+I446+I448+I452+I453+I454+SUM(I449:I451)</f>
        <v>776.49</v>
      </c>
      <c r="I456" s="50"/>
      <c r="J456" s="50">
        <f>K445+K446+K448+K452+K453+K454+SUM(K449:K451)</f>
        <v>10727.36</v>
      </c>
      <c r="K456" s="50"/>
      <c r="O456" s="25">
        <f>I445+I446+I448+I452+I453+I454+SUM(I449:I451)</f>
        <v>776.49</v>
      </c>
      <c r="P456" s="25">
        <f>K445+K446+K448+K452+K453+K454+SUM(K449:K451)</f>
        <v>10727.36</v>
      </c>
      <c r="X456">
        <f>IF(Source!BI215&lt;=1,I445+I446+I448+I452+I453+I454-0, 0)</f>
        <v>318.27000000000004</v>
      </c>
      <c r="Y456">
        <f>IF(Source!BI215=2,I445+I446+I448+I452+I453+I454-0, 0)</f>
        <v>0</v>
      </c>
      <c r="Z456">
        <f>IF(Source!BI215=3,I445+I446+I448+I452+I453+I454-0, 0)</f>
        <v>0</v>
      </c>
      <c r="AA456">
        <f>IF(Source!BI215=4,I445+I446+I448+I452+I453+I454,0)</f>
        <v>0</v>
      </c>
    </row>
    <row r="458" spans="1:35" ht="42.75" x14ac:dyDescent="0.2">
      <c r="A458" s="20">
        <v>34</v>
      </c>
      <c r="B458" s="20" t="str">
        <f>Source!F219</f>
        <v>3.11-10-11</v>
      </c>
      <c r="C458" s="20" t="s">
        <v>470</v>
      </c>
      <c r="D458" s="22" t="str">
        <f>Source!H219</f>
        <v>100 м2 стяжки</v>
      </c>
      <c r="E458" s="21">
        <f>Source!I219</f>
        <v>1.2</v>
      </c>
      <c r="F458" s="24"/>
      <c r="G458" s="23"/>
      <c r="H458" s="21"/>
      <c r="I458" s="24"/>
      <c r="J458" s="21"/>
      <c r="K458" s="24"/>
      <c r="Q458">
        <f>ROUND((Source!DN219/100)*ROUND((ROUND((Source!AF219*Source!AV219*Source!I219),2)),2), 2)</f>
        <v>561.84</v>
      </c>
      <c r="R458">
        <f>Source!X219</f>
        <v>14147</v>
      </c>
      <c r="S458">
        <f>ROUND((Source!DO219/100)*ROUND((ROUND((Source!AF219*Source!AV219*Source!I219),2)),2), 2)</f>
        <v>378.16</v>
      </c>
      <c r="T458">
        <f>Source!Y219</f>
        <v>6666.98</v>
      </c>
      <c r="U458">
        <f>ROUND((175/100)*ROUND((ROUND((Source!AE219*Source!AV219*Source!I219),2)),2), 2)</f>
        <v>16.22</v>
      </c>
      <c r="V458">
        <f>ROUND((160/100)*ROUND(ROUND((ROUND((Source!AE219*Source!AV219*Source!I219),2)*Source!BS219),2), 2), 2)</f>
        <v>446.45</v>
      </c>
      <c r="AI458">
        <v>0</v>
      </c>
    </row>
    <row r="459" spans="1:35" x14ac:dyDescent="0.2">
      <c r="C459" s="31" t="str">
        <f>"Объем: "&amp;Source!I219&amp;"=120/"&amp;"100"</f>
        <v>Объем: 1,2=120/100</v>
      </c>
    </row>
    <row r="460" spans="1:35" ht="14.25" x14ac:dyDescent="0.2">
      <c r="A460" s="20"/>
      <c r="B460" s="20"/>
      <c r="C460" s="20" t="s">
        <v>1009</v>
      </c>
      <c r="D460" s="22"/>
      <c r="E460" s="21"/>
      <c r="F460" s="24">
        <f>Source!AO219</f>
        <v>391.47</v>
      </c>
      <c r="G460" s="23" t="str">
        <f>Source!DG219</f>
        <v>)*1,15</v>
      </c>
      <c r="H460" s="21">
        <f>Source!AV219</f>
        <v>1</v>
      </c>
      <c r="I460" s="24">
        <f>ROUND((ROUND((Source!AF219*Source!AV219*Source!I219),2)),2)</f>
        <v>540.23</v>
      </c>
      <c r="J460" s="21">
        <f>IF(Source!BA219&lt;&gt; 0, Source!BA219, 1)</f>
        <v>30.1</v>
      </c>
      <c r="K460" s="24">
        <f>Source!S219</f>
        <v>16260.92</v>
      </c>
      <c r="W460">
        <f>I460</f>
        <v>540.23</v>
      </c>
    </row>
    <row r="461" spans="1:35" ht="14.25" x14ac:dyDescent="0.2">
      <c r="A461" s="20"/>
      <c r="B461" s="20"/>
      <c r="C461" s="20" t="s">
        <v>1016</v>
      </c>
      <c r="D461" s="22"/>
      <c r="E461" s="21"/>
      <c r="F461" s="24">
        <f>Source!AM219</f>
        <v>55.08</v>
      </c>
      <c r="G461" s="23" t="str">
        <f>Source!DE219</f>
        <v>)*1,25</v>
      </c>
      <c r="H461" s="21">
        <f>Source!AV219</f>
        <v>1</v>
      </c>
      <c r="I461" s="24">
        <f>(ROUND((ROUND((((Source!ET219*1.25))*Source!AV219*Source!I219),2)),2)+ROUND((ROUND(((Source!AE219-((Source!EU219*1.25)))*Source!AV219*Source!I219),2)),2))</f>
        <v>82.62</v>
      </c>
      <c r="J461" s="21">
        <f>IF(Source!BB219&lt;&gt; 0, Source!BB219, 1)</f>
        <v>11.25</v>
      </c>
      <c r="K461" s="24">
        <f>Source!Q219</f>
        <v>929.48</v>
      </c>
    </row>
    <row r="462" spans="1:35" ht="14.25" x14ac:dyDescent="0.2">
      <c r="A462" s="20"/>
      <c r="B462" s="20"/>
      <c r="C462" s="20" t="s">
        <v>1017</v>
      </c>
      <c r="D462" s="22"/>
      <c r="E462" s="21"/>
      <c r="F462" s="24">
        <f>Source!AN219</f>
        <v>6.18</v>
      </c>
      <c r="G462" s="23" t="str">
        <f>Source!DF219</f>
        <v>)*1,25</v>
      </c>
      <c r="H462" s="21">
        <f>Source!AV219</f>
        <v>1</v>
      </c>
      <c r="I462" s="32">
        <f>ROUND((ROUND((Source!AE219*Source!AV219*Source!I219),2)),2)</f>
        <v>9.27</v>
      </c>
      <c r="J462" s="21">
        <f>IF(Source!BS219&lt;&gt; 0, Source!BS219, 1)</f>
        <v>30.1</v>
      </c>
      <c r="K462" s="32">
        <f>Source!R219</f>
        <v>279.02999999999997</v>
      </c>
      <c r="W462">
        <f>I462</f>
        <v>9.27</v>
      </c>
    </row>
    <row r="463" spans="1:35" ht="14.25" x14ac:dyDescent="0.2">
      <c r="A463" s="20"/>
      <c r="B463" s="20"/>
      <c r="C463" s="20" t="s">
        <v>1019</v>
      </c>
      <c r="D463" s="22"/>
      <c r="E463" s="21"/>
      <c r="F463" s="24">
        <f>Source!AL219</f>
        <v>25.24</v>
      </c>
      <c r="G463" s="23" t="str">
        <f>Source!DD219</f>
        <v/>
      </c>
      <c r="H463" s="21">
        <f>Source!AW219</f>
        <v>1</v>
      </c>
      <c r="I463" s="24">
        <f>ROUND((ROUND((Source!AC219*Source!AW219*Source!I219),2)),2)</f>
        <v>30.29</v>
      </c>
      <c r="J463" s="21">
        <f>IF(Source!BC219&lt;&gt; 0, Source!BC219, 1)</f>
        <v>3.35</v>
      </c>
      <c r="K463" s="24">
        <f>Source!P219</f>
        <v>101.47</v>
      </c>
    </row>
    <row r="464" spans="1:35" ht="85.5" x14ac:dyDescent="0.2">
      <c r="A464" s="20" t="s">
        <v>474</v>
      </c>
      <c r="B464" s="20" t="str">
        <f>Source!F220</f>
        <v>1.1-1-3108</v>
      </c>
      <c r="C464" s="20" t="s">
        <v>476</v>
      </c>
      <c r="D464" s="22" t="str">
        <f>Source!H220</f>
        <v>кг</v>
      </c>
      <c r="E464" s="21">
        <f>Source!I220</f>
        <v>24</v>
      </c>
      <c r="F464" s="24">
        <f>Source!AK220</f>
        <v>17.66</v>
      </c>
      <c r="G464" s="33" t="s">
        <v>3</v>
      </c>
      <c r="H464" s="21">
        <f>Source!AW220</f>
        <v>1</v>
      </c>
      <c r="I464" s="24">
        <f>ROUND((ROUND((Source!AC220*Source!AW220*Source!I220),2)),2)+(ROUND((ROUND(((Source!ET220)*Source!AV220*Source!I220),2)),2)+ROUND((ROUND(((Source!AE220-(Source!EU220))*Source!AV220*Source!I220),2)),2))+ROUND((ROUND((Source!AF220*Source!AV220*Source!I220),2)),2)</f>
        <v>423.84</v>
      </c>
      <c r="J464" s="21">
        <f>IF(Source!BC220&lt;&gt; 0, Source!BC220, 1)</f>
        <v>4</v>
      </c>
      <c r="K464" s="24">
        <f>Source!O220</f>
        <v>1695.36</v>
      </c>
      <c r="Q464">
        <f>ROUND((Source!DN220/100)*ROUND((ROUND((Source!AF220*Source!AV220*Source!I220),2)),2), 2)</f>
        <v>0</v>
      </c>
      <c r="R464">
        <f>Source!X220</f>
        <v>0</v>
      </c>
      <c r="S464">
        <f>ROUND((Source!DO220/100)*ROUND((ROUND((Source!AF220*Source!AV220*Source!I220),2)),2), 2)</f>
        <v>0</v>
      </c>
      <c r="T464">
        <f>Source!Y220</f>
        <v>0</v>
      </c>
      <c r="U464">
        <f>ROUND((175/100)*ROUND((ROUND((Source!AE220*Source!AV220*Source!I220),2)),2), 2)</f>
        <v>0</v>
      </c>
      <c r="V464">
        <f>ROUND((160/100)*ROUND(ROUND((ROUND((Source!AE220*Source!AV220*Source!I220),2)*Source!BS220),2), 2), 2)</f>
        <v>0</v>
      </c>
      <c r="X464">
        <f>IF(Source!BI220&lt;=1,I464, 0)</f>
        <v>423.84</v>
      </c>
      <c r="Y464">
        <f>IF(Source!BI220=2,I464, 0)</f>
        <v>0</v>
      </c>
      <c r="Z464">
        <f>IF(Source!BI220=3,I464, 0)</f>
        <v>0</v>
      </c>
      <c r="AA464">
        <f>IF(Source!BI220=4,I464, 0)</f>
        <v>0</v>
      </c>
      <c r="AI464">
        <v>3</v>
      </c>
    </row>
    <row r="465" spans="1:35" ht="128.25" x14ac:dyDescent="0.2">
      <c r="A465" s="20" t="s">
        <v>478</v>
      </c>
      <c r="B465" s="20" t="str">
        <f>Source!F221</f>
        <v>1.3-2-37</v>
      </c>
      <c r="C465" s="20" t="s">
        <v>981</v>
      </c>
      <c r="D465" s="22" t="str">
        <f>Source!H221</f>
        <v>т</v>
      </c>
      <c r="E465" s="21">
        <f>Source!I221</f>
        <v>1.0104</v>
      </c>
      <c r="F465" s="24">
        <f>Source!AK221</f>
        <v>5039.5</v>
      </c>
      <c r="G465" s="33" t="s">
        <v>3</v>
      </c>
      <c r="H465" s="21">
        <f>Source!AW221</f>
        <v>1</v>
      </c>
      <c r="I465" s="24">
        <f>ROUND((ROUND((Source!AC221*Source!AW221*Source!I221),2)),2)+(ROUND((ROUND(((Source!ET221)*Source!AV221*Source!I221),2)),2)+ROUND((ROUND(((Source!AE221-(Source!EU221))*Source!AV221*Source!I221),2)),2))+ROUND((ROUND((Source!AF221*Source!AV221*Source!I221),2)),2)</f>
        <v>5091.91</v>
      </c>
      <c r="J465" s="21">
        <f>IF(Source!BC221&lt;&gt; 0, Source!BC221, 1)</f>
        <v>5.17</v>
      </c>
      <c r="K465" s="24">
        <f>Source!O221</f>
        <v>26325.17</v>
      </c>
      <c r="Q465">
        <f>ROUND((Source!DN221/100)*ROUND((ROUND((Source!AF221*Source!AV221*Source!I221),2)),2), 2)</f>
        <v>0</v>
      </c>
      <c r="R465">
        <f>Source!X221</f>
        <v>0</v>
      </c>
      <c r="S465">
        <f>ROUND((Source!DO221/100)*ROUND((ROUND((Source!AF221*Source!AV221*Source!I221),2)),2), 2)</f>
        <v>0</v>
      </c>
      <c r="T465">
        <f>Source!Y221</f>
        <v>0</v>
      </c>
      <c r="U465">
        <f>ROUND((175/100)*ROUND((ROUND((Source!AE221*Source!AV221*Source!I221),2)),2), 2)</f>
        <v>0</v>
      </c>
      <c r="V465">
        <f>ROUND((160/100)*ROUND(ROUND((ROUND((Source!AE221*Source!AV221*Source!I221),2)*Source!BS221),2), 2), 2)</f>
        <v>0</v>
      </c>
      <c r="X465">
        <f>IF(Source!BI221&lt;=1,I465, 0)</f>
        <v>5091.91</v>
      </c>
      <c r="Y465">
        <f>IF(Source!BI221=2,I465, 0)</f>
        <v>0</v>
      </c>
      <c r="Z465">
        <f>IF(Source!BI221=3,I465, 0)</f>
        <v>0</v>
      </c>
      <c r="AA465">
        <f>IF(Source!BI221=4,I465, 0)</f>
        <v>0</v>
      </c>
      <c r="AI465">
        <v>3</v>
      </c>
    </row>
    <row r="466" spans="1:35" ht="14.25" x14ac:dyDescent="0.2">
      <c r="A466" s="20"/>
      <c r="B466" s="20"/>
      <c r="C466" s="20" t="s">
        <v>1010</v>
      </c>
      <c r="D466" s="22" t="s">
        <v>1011</v>
      </c>
      <c r="E466" s="21">
        <f>Source!DN219</f>
        <v>104</v>
      </c>
      <c r="F466" s="24"/>
      <c r="G466" s="23"/>
      <c r="H466" s="21"/>
      <c r="I466" s="24">
        <f>SUM(Q458:Q465)</f>
        <v>561.84</v>
      </c>
      <c r="J466" s="21">
        <f>Source!BZ219</f>
        <v>87</v>
      </c>
      <c r="K466" s="24">
        <f>SUM(R458:R465)</f>
        <v>14147</v>
      </c>
    </row>
    <row r="467" spans="1:35" ht="14.25" x14ac:dyDescent="0.2">
      <c r="A467" s="20"/>
      <c r="B467" s="20"/>
      <c r="C467" s="20" t="s">
        <v>1012</v>
      </c>
      <c r="D467" s="22" t="s">
        <v>1011</v>
      </c>
      <c r="E467" s="21">
        <f>Source!DO219</f>
        <v>70</v>
      </c>
      <c r="F467" s="24"/>
      <c r="G467" s="23"/>
      <c r="H467" s="21"/>
      <c r="I467" s="24">
        <f>SUM(S458:S466)</f>
        <v>378.16</v>
      </c>
      <c r="J467" s="21">
        <f>Source!CA219</f>
        <v>41</v>
      </c>
      <c r="K467" s="24">
        <f>SUM(T458:T466)</f>
        <v>6666.98</v>
      </c>
    </row>
    <row r="468" spans="1:35" ht="14.25" x14ac:dyDescent="0.2">
      <c r="A468" s="20"/>
      <c r="B468" s="20"/>
      <c r="C468" s="20" t="s">
        <v>1018</v>
      </c>
      <c r="D468" s="22" t="s">
        <v>1011</v>
      </c>
      <c r="E468" s="21">
        <f>175</f>
        <v>175</v>
      </c>
      <c r="F468" s="24"/>
      <c r="G468" s="23"/>
      <c r="H468" s="21"/>
      <c r="I468" s="24">
        <f>SUM(U458:U467)</f>
        <v>16.22</v>
      </c>
      <c r="J468" s="21">
        <f>160</f>
        <v>160</v>
      </c>
      <c r="K468" s="24">
        <f>SUM(V458:V467)</f>
        <v>446.45</v>
      </c>
    </row>
    <row r="469" spans="1:35" ht="14.25" x14ac:dyDescent="0.2">
      <c r="A469" s="26"/>
      <c r="B469" s="26"/>
      <c r="C469" s="26" t="s">
        <v>1013</v>
      </c>
      <c r="D469" s="27" t="s">
        <v>1014</v>
      </c>
      <c r="E469" s="28">
        <f>Source!AQ219</f>
        <v>33.020000000000003</v>
      </c>
      <c r="F469" s="29"/>
      <c r="G469" s="30" t="str">
        <f>Source!DI219</f>
        <v>)*1,15</v>
      </c>
      <c r="H469" s="28">
        <f>Source!AV219</f>
        <v>1</v>
      </c>
      <c r="I469" s="29">
        <f>Source!U219</f>
        <v>45.567599999999999</v>
      </c>
      <c r="J469" s="28"/>
      <c r="K469" s="29"/>
      <c r="AB469" s="25">
        <f>I469</f>
        <v>45.567599999999999</v>
      </c>
    </row>
    <row r="470" spans="1:35" ht="15" x14ac:dyDescent="0.25">
      <c r="C470" s="13" t="s">
        <v>1015</v>
      </c>
      <c r="H470" s="50">
        <f>I460+I461+I463+I466+I467+I468+SUM(I464:I465)</f>
        <v>7125.1100000000006</v>
      </c>
      <c r="I470" s="50"/>
      <c r="J470" s="50">
        <f>K460+K461+K463+K466+K467+K468+SUM(K464:K465)</f>
        <v>66572.83</v>
      </c>
      <c r="K470" s="50"/>
      <c r="O470" s="25">
        <f>I460+I461+I463+I466+I467+I468+SUM(I464:I465)</f>
        <v>7125.1100000000006</v>
      </c>
      <c r="P470" s="25">
        <f>K460+K461+K463+K466+K467+K468+SUM(K464:K465)</f>
        <v>66572.83</v>
      </c>
      <c r="X470">
        <f>IF(Source!BI219&lt;=1,I460+I461+I463+I466+I467+I468-0, 0)</f>
        <v>1609.3600000000001</v>
      </c>
      <c r="Y470">
        <f>IF(Source!BI219=2,I460+I461+I463+I466+I467+I468-0, 0)</f>
        <v>0</v>
      </c>
      <c r="Z470">
        <f>IF(Source!BI219=3,I460+I461+I463+I466+I467+I468-0, 0)</f>
        <v>0</v>
      </c>
      <c r="AA470">
        <f>IF(Source!BI219=4,I460+I461+I463+I466+I467+I468,0)</f>
        <v>0</v>
      </c>
    </row>
    <row r="472" spans="1:35" ht="42.75" x14ac:dyDescent="0.2">
      <c r="A472" s="20">
        <v>35</v>
      </c>
      <c r="B472" s="20" t="str">
        <f>Source!F222</f>
        <v>3.11-42-1</v>
      </c>
      <c r="C472" s="20" t="s">
        <v>483</v>
      </c>
      <c r="D472" s="22" t="str">
        <f>Source!H222</f>
        <v>100 м2</v>
      </c>
      <c r="E472" s="21">
        <f>Source!I222</f>
        <v>1.2</v>
      </c>
      <c r="F472" s="24"/>
      <c r="G472" s="23"/>
      <c r="H472" s="21"/>
      <c r="I472" s="24"/>
      <c r="J472" s="21"/>
      <c r="K472" s="24"/>
      <c r="Q472">
        <f>ROUND((Source!DN222/100)*ROUND((ROUND((Source!AF222*Source!AV222*Source!I222),2)),2), 2)</f>
        <v>877.36</v>
      </c>
      <c r="R472">
        <f>Source!X222</f>
        <v>22091.88</v>
      </c>
      <c r="S472">
        <f>ROUND((Source!DO222/100)*ROUND((ROUND((Source!AF222*Source!AV222*Source!I222),2)),2), 2)</f>
        <v>590.53</v>
      </c>
      <c r="T472">
        <f>Source!Y222</f>
        <v>10411.11</v>
      </c>
      <c r="U472">
        <f>ROUND((175/100)*ROUND((ROUND((Source!AE222*Source!AV222*Source!I222),2)),2), 2)</f>
        <v>18.57</v>
      </c>
      <c r="V472">
        <f>ROUND((160/100)*ROUND(ROUND((ROUND((Source!AE222*Source!AV222*Source!I222),2)*Source!BS222),2), 2), 2)</f>
        <v>510.98</v>
      </c>
      <c r="AI472">
        <v>0</v>
      </c>
    </row>
    <row r="473" spans="1:35" x14ac:dyDescent="0.2">
      <c r="C473" s="31" t="str">
        <f>"Объем: "&amp;Source!I222&amp;"=120/"&amp;"100"</f>
        <v>Объем: 1,2=120/100</v>
      </c>
    </row>
    <row r="474" spans="1:35" ht="14.25" x14ac:dyDescent="0.2">
      <c r="A474" s="20"/>
      <c r="B474" s="20"/>
      <c r="C474" s="20" t="s">
        <v>1009</v>
      </c>
      <c r="D474" s="22"/>
      <c r="E474" s="21"/>
      <c r="F474" s="24">
        <f>Source!AO222</f>
        <v>611.32000000000005</v>
      </c>
      <c r="G474" s="23" t="str">
        <f>Source!DG222</f>
        <v>)*1,15</v>
      </c>
      <c r="H474" s="21">
        <f>Source!AV222</f>
        <v>1</v>
      </c>
      <c r="I474" s="24">
        <f>ROUND((ROUND((Source!AF222*Source!AV222*Source!I222),2)),2)</f>
        <v>843.62</v>
      </c>
      <c r="J474" s="21">
        <f>IF(Source!BA222&lt;&gt; 0, Source!BA222, 1)</f>
        <v>30.1</v>
      </c>
      <c r="K474" s="24">
        <f>Source!S222</f>
        <v>25392.959999999999</v>
      </c>
      <c r="W474">
        <f>I474</f>
        <v>843.62</v>
      </c>
    </row>
    <row r="475" spans="1:35" ht="14.25" x14ac:dyDescent="0.2">
      <c r="A475" s="20"/>
      <c r="B475" s="20"/>
      <c r="C475" s="20" t="s">
        <v>1016</v>
      </c>
      <c r="D475" s="22"/>
      <c r="E475" s="21"/>
      <c r="F475" s="24">
        <f>Source!AM222</f>
        <v>75.13</v>
      </c>
      <c r="G475" s="23" t="str">
        <f>Source!DE222</f>
        <v>)*1,25</v>
      </c>
      <c r="H475" s="21">
        <f>Source!AV222</f>
        <v>1</v>
      </c>
      <c r="I475" s="24">
        <f>(ROUND((ROUND((((Source!ET222*1.25))*Source!AV222*Source!I222),2)),2)+ROUND((ROUND(((Source!AE222-((Source!EU222*1.25)))*Source!AV222*Source!I222),2)),2))</f>
        <v>112.7</v>
      </c>
      <c r="J475" s="21">
        <f>IF(Source!BB222&lt;&gt; 0, Source!BB222, 1)</f>
        <v>10.87</v>
      </c>
      <c r="K475" s="24">
        <f>Source!Q222</f>
        <v>1225.05</v>
      </c>
    </row>
    <row r="476" spans="1:35" ht="14.25" x14ac:dyDescent="0.2">
      <c r="A476" s="20"/>
      <c r="B476" s="20"/>
      <c r="C476" s="20" t="s">
        <v>1017</v>
      </c>
      <c r="D476" s="22"/>
      <c r="E476" s="21"/>
      <c r="F476" s="24">
        <f>Source!AN222</f>
        <v>7.07</v>
      </c>
      <c r="G476" s="23" t="str">
        <f>Source!DF222</f>
        <v>)*1,25</v>
      </c>
      <c r="H476" s="21">
        <f>Source!AV222</f>
        <v>1</v>
      </c>
      <c r="I476" s="32">
        <f>ROUND((ROUND((Source!AE222*Source!AV222*Source!I222),2)),2)</f>
        <v>10.61</v>
      </c>
      <c r="J476" s="21">
        <f>IF(Source!BS222&lt;&gt; 0, Source!BS222, 1)</f>
        <v>30.1</v>
      </c>
      <c r="K476" s="32">
        <f>Source!R222</f>
        <v>319.36</v>
      </c>
      <c r="W476">
        <f>I476</f>
        <v>10.61</v>
      </c>
    </row>
    <row r="477" spans="1:35" ht="14.25" x14ac:dyDescent="0.2">
      <c r="A477" s="20"/>
      <c r="B477" s="20"/>
      <c r="C477" s="20" t="s">
        <v>1019</v>
      </c>
      <c r="D477" s="22"/>
      <c r="E477" s="21"/>
      <c r="F477" s="24">
        <f>Source!AL222</f>
        <v>766.29</v>
      </c>
      <c r="G477" s="23" t="str">
        <f>Source!DD222</f>
        <v/>
      </c>
      <c r="H477" s="21">
        <f>Source!AW222</f>
        <v>1</v>
      </c>
      <c r="I477" s="24">
        <f>ROUND((ROUND((Source!AC222*Source!AW222*Source!I222),2)),2)</f>
        <v>919.55</v>
      </c>
      <c r="J477" s="21">
        <f>IF(Source!BC222&lt;&gt; 0, Source!BC222, 1)</f>
        <v>5.28</v>
      </c>
      <c r="K477" s="24">
        <f>Source!P222</f>
        <v>4855.22</v>
      </c>
    </row>
    <row r="478" spans="1:35" ht="57" x14ac:dyDescent="0.2">
      <c r="A478" s="20" t="s">
        <v>487</v>
      </c>
      <c r="B478" s="20" t="str">
        <f>Source!F223</f>
        <v>1.1-1-3259</v>
      </c>
      <c r="C478" s="20" t="s">
        <v>489</v>
      </c>
      <c r="D478" s="22" t="str">
        <f>Source!H223</f>
        <v>кг</v>
      </c>
      <c r="E478" s="21">
        <f>Source!I223</f>
        <v>43.26</v>
      </c>
      <c r="F478" s="24">
        <f>Source!AK223</f>
        <v>21.97</v>
      </c>
      <c r="G478" s="33" t="s">
        <v>3</v>
      </c>
      <c r="H478" s="21">
        <f>Source!AW223</f>
        <v>1</v>
      </c>
      <c r="I478" s="24">
        <f>ROUND((ROUND((Source!AC223*Source!AW223*Source!I223),2)),2)+(ROUND((ROUND(((Source!ET223)*Source!AV223*Source!I223),2)),2)+ROUND((ROUND(((Source!AE223-(Source!EU223))*Source!AV223*Source!I223),2)),2))+ROUND((ROUND((Source!AF223*Source!AV223*Source!I223),2)),2)</f>
        <v>950.42</v>
      </c>
      <c r="J478" s="21">
        <f>IF(Source!BC223&lt;&gt; 0, Source!BC223, 1)</f>
        <v>5.25</v>
      </c>
      <c r="K478" s="24">
        <f>Source!O223</f>
        <v>4989.71</v>
      </c>
      <c r="Q478">
        <f>ROUND((Source!DN223/100)*ROUND((ROUND((Source!AF223*Source!AV223*Source!I223),2)),2), 2)</f>
        <v>0</v>
      </c>
      <c r="R478">
        <f>Source!X223</f>
        <v>0</v>
      </c>
      <c r="S478">
        <f>ROUND((Source!DO223/100)*ROUND((ROUND((Source!AF223*Source!AV223*Source!I223),2)),2), 2)</f>
        <v>0</v>
      </c>
      <c r="T478">
        <f>Source!Y223</f>
        <v>0</v>
      </c>
      <c r="U478">
        <f>ROUND((175/100)*ROUND((ROUND((Source!AE223*Source!AV223*Source!I223),2)),2), 2)</f>
        <v>0</v>
      </c>
      <c r="V478">
        <f>ROUND((160/100)*ROUND(ROUND((ROUND((Source!AE223*Source!AV223*Source!I223),2)*Source!BS223),2), 2), 2)</f>
        <v>0</v>
      </c>
      <c r="X478">
        <f>IF(Source!BI223&lt;=1,I478, 0)</f>
        <v>950.42</v>
      </c>
      <c r="Y478">
        <f>IF(Source!BI223=2,I478, 0)</f>
        <v>0</v>
      </c>
      <c r="Z478">
        <f>IF(Source!BI223=3,I478, 0)</f>
        <v>0</v>
      </c>
      <c r="AA478">
        <f>IF(Source!BI223=4,I478, 0)</f>
        <v>0</v>
      </c>
      <c r="AI478">
        <v>3</v>
      </c>
    </row>
    <row r="479" spans="1:35" ht="57" x14ac:dyDescent="0.2">
      <c r="A479" s="20" t="s">
        <v>491</v>
      </c>
      <c r="B479" s="20" t="str">
        <f>Source!F224</f>
        <v>1.1-1-3320</v>
      </c>
      <c r="C479" s="20" t="s">
        <v>493</v>
      </c>
      <c r="D479" s="22" t="str">
        <f>Source!H224</f>
        <v>м2</v>
      </c>
      <c r="E479" s="21">
        <f>Source!I224</f>
        <v>128.4</v>
      </c>
      <c r="F479" s="24">
        <f>Source!AK224</f>
        <v>324.74</v>
      </c>
      <c r="G479" s="33" t="s">
        <v>3</v>
      </c>
      <c r="H479" s="21">
        <f>Source!AW224</f>
        <v>1</v>
      </c>
      <c r="I479" s="24">
        <f>ROUND((ROUND((Source!AC224*Source!AW224*Source!I224),2)),2)+(ROUND((ROUND(((Source!ET224)*Source!AV224*Source!I224),2)),2)+ROUND((ROUND(((Source!AE224-(Source!EU224))*Source!AV224*Source!I224),2)),2))+ROUND((ROUND((Source!AF224*Source!AV224*Source!I224),2)),2)</f>
        <v>41696.620000000003</v>
      </c>
      <c r="J479" s="21">
        <f>IF(Source!BC224&lt;&gt; 0, Source!BC224, 1)</f>
        <v>2.74</v>
      </c>
      <c r="K479" s="24">
        <f>Source!O224</f>
        <v>114248.74</v>
      </c>
      <c r="Q479">
        <f>ROUND((Source!DN224/100)*ROUND((ROUND((Source!AF224*Source!AV224*Source!I224),2)),2), 2)</f>
        <v>0</v>
      </c>
      <c r="R479">
        <f>Source!X224</f>
        <v>0</v>
      </c>
      <c r="S479">
        <f>ROUND((Source!DO224/100)*ROUND((ROUND((Source!AF224*Source!AV224*Source!I224),2)),2), 2)</f>
        <v>0</v>
      </c>
      <c r="T479">
        <f>Source!Y224</f>
        <v>0</v>
      </c>
      <c r="U479">
        <f>ROUND((175/100)*ROUND((ROUND((Source!AE224*Source!AV224*Source!I224),2)),2), 2)</f>
        <v>0</v>
      </c>
      <c r="V479">
        <f>ROUND((160/100)*ROUND(ROUND((ROUND((Source!AE224*Source!AV224*Source!I224),2)*Source!BS224),2), 2), 2)</f>
        <v>0</v>
      </c>
      <c r="X479">
        <f>IF(Source!BI224&lt;=1,I479, 0)</f>
        <v>41696.620000000003</v>
      </c>
      <c r="Y479">
        <f>IF(Source!BI224=2,I479, 0)</f>
        <v>0</v>
      </c>
      <c r="Z479">
        <f>IF(Source!BI224=3,I479, 0)</f>
        <v>0</v>
      </c>
      <c r="AA479">
        <f>IF(Source!BI224=4,I479, 0)</f>
        <v>0</v>
      </c>
      <c r="AI479">
        <v>3</v>
      </c>
    </row>
    <row r="480" spans="1:35" ht="14.25" x14ac:dyDescent="0.2">
      <c r="A480" s="20"/>
      <c r="B480" s="20"/>
      <c r="C480" s="20" t="s">
        <v>1010</v>
      </c>
      <c r="D480" s="22" t="s">
        <v>1011</v>
      </c>
      <c r="E480" s="21">
        <f>Source!DN222</f>
        <v>104</v>
      </c>
      <c r="F480" s="24"/>
      <c r="G480" s="23"/>
      <c r="H480" s="21"/>
      <c r="I480" s="24">
        <f>SUM(Q472:Q479)</f>
        <v>877.36</v>
      </c>
      <c r="J480" s="21">
        <f>Source!BZ222</f>
        <v>87</v>
      </c>
      <c r="K480" s="24">
        <f>SUM(R472:R479)</f>
        <v>22091.88</v>
      </c>
    </row>
    <row r="481" spans="1:35" ht="14.25" x14ac:dyDescent="0.2">
      <c r="A481" s="20"/>
      <c r="B481" s="20"/>
      <c r="C481" s="20" t="s">
        <v>1012</v>
      </c>
      <c r="D481" s="22" t="s">
        <v>1011</v>
      </c>
      <c r="E481" s="21">
        <f>Source!DO222</f>
        <v>70</v>
      </c>
      <c r="F481" s="24"/>
      <c r="G481" s="23"/>
      <c r="H481" s="21"/>
      <c r="I481" s="24">
        <f>SUM(S472:S480)</f>
        <v>590.53</v>
      </c>
      <c r="J481" s="21">
        <f>Source!CA222</f>
        <v>41</v>
      </c>
      <c r="K481" s="24">
        <f>SUM(T472:T480)</f>
        <v>10411.11</v>
      </c>
    </row>
    <row r="482" spans="1:35" ht="14.25" x14ac:dyDescent="0.2">
      <c r="A482" s="20"/>
      <c r="B482" s="20"/>
      <c r="C482" s="20" t="s">
        <v>1018</v>
      </c>
      <c r="D482" s="22" t="s">
        <v>1011</v>
      </c>
      <c r="E482" s="21">
        <f>175</f>
        <v>175</v>
      </c>
      <c r="F482" s="24"/>
      <c r="G482" s="23"/>
      <c r="H482" s="21"/>
      <c r="I482" s="24">
        <f>SUM(U472:U481)</f>
        <v>18.57</v>
      </c>
      <c r="J482" s="21">
        <f>160</f>
        <v>160</v>
      </c>
      <c r="K482" s="24">
        <f>SUM(V472:V481)</f>
        <v>510.98</v>
      </c>
    </row>
    <row r="483" spans="1:35" ht="14.25" x14ac:dyDescent="0.2">
      <c r="A483" s="26"/>
      <c r="B483" s="26"/>
      <c r="C483" s="26" t="s">
        <v>1013</v>
      </c>
      <c r="D483" s="27" t="s">
        <v>1014</v>
      </c>
      <c r="E483" s="28">
        <f>Source!AQ222</f>
        <v>52.21</v>
      </c>
      <c r="F483" s="29"/>
      <c r="G483" s="30" t="str">
        <f>Source!DI222</f>
        <v>)*1,15</v>
      </c>
      <c r="H483" s="28">
        <f>Source!AV222</f>
        <v>1</v>
      </c>
      <c r="I483" s="29">
        <f>Source!U222</f>
        <v>72.049799999999991</v>
      </c>
      <c r="J483" s="28"/>
      <c r="K483" s="29"/>
      <c r="AB483" s="25">
        <f>I483</f>
        <v>72.049799999999991</v>
      </c>
    </row>
    <row r="484" spans="1:35" ht="15" x14ac:dyDescent="0.25">
      <c r="C484" s="13" t="s">
        <v>1015</v>
      </c>
      <c r="H484" s="50">
        <f>I474+I475+I477+I480+I481+I482+SUM(I478:I479)</f>
        <v>46009.37</v>
      </c>
      <c r="I484" s="50"/>
      <c r="J484" s="50">
        <f>K474+K475+K477+K480+K481+K482+SUM(K478:K479)</f>
        <v>183725.65000000002</v>
      </c>
      <c r="K484" s="50"/>
      <c r="O484" s="25">
        <f>I474+I475+I477+I480+I481+I482+SUM(I478:I479)</f>
        <v>46009.37</v>
      </c>
      <c r="P484" s="25">
        <f>K474+K475+K477+K480+K481+K482+SUM(K478:K479)</f>
        <v>183725.65000000002</v>
      </c>
      <c r="X484">
        <f>IF(Source!BI222&lt;=1,I474+I475+I477+I480+I481+I482-0, 0)</f>
        <v>3362.3300000000004</v>
      </c>
      <c r="Y484">
        <f>IF(Source!BI222=2,I474+I475+I477+I480+I481+I482-0, 0)</f>
        <v>0</v>
      </c>
      <c r="Z484">
        <f>IF(Source!BI222=3,I474+I475+I477+I480+I481+I482-0, 0)</f>
        <v>0</v>
      </c>
      <c r="AA484">
        <f>IF(Source!BI222=4,I474+I475+I477+I480+I481+I482,0)</f>
        <v>0</v>
      </c>
    </row>
    <row r="486" spans="1:35" ht="42.75" x14ac:dyDescent="0.2">
      <c r="A486" s="20">
        <v>36</v>
      </c>
      <c r="B486" s="20" t="str">
        <f>Source!F227</f>
        <v>3.11-29-3</v>
      </c>
      <c r="C486" s="20" t="s">
        <v>505</v>
      </c>
      <c r="D486" s="22" t="str">
        <f>Source!H227</f>
        <v>100 М ПЛИНТУСОВ</v>
      </c>
      <c r="E486" s="21">
        <f>Source!I227</f>
        <v>0.78</v>
      </c>
      <c r="F486" s="24"/>
      <c r="G486" s="23"/>
      <c r="H486" s="21"/>
      <c r="I486" s="24"/>
      <c r="J486" s="21"/>
      <c r="K486" s="24"/>
      <c r="Q486">
        <f>ROUND((Source!DN227/100)*ROUND((ROUND((Source!AF227*Source!AV227*Source!I227),2)),2), 2)</f>
        <v>74.81</v>
      </c>
      <c r="R486">
        <f>Source!X227</f>
        <v>1883.63</v>
      </c>
      <c r="S486">
        <f>ROUND((Source!DO227/100)*ROUND((ROUND((Source!AF227*Source!AV227*Source!I227),2)),2), 2)</f>
        <v>50.35</v>
      </c>
      <c r="T486">
        <f>Source!Y227</f>
        <v>887.69</v>
      </c>
      <c r="U486">
        <f>ROUND((175/100)*ROUND((ROUND((Source!AE227*Source!AV227*Source!I227),2)),2), 2)</f>
        <v>0.65</v>
      </c>
      <c r="V486">
        <f>ROUND((160/100)*ROUND(ROUND((ROUND((Source!AE227*Source!AV227*Source!I227),2)*Source!BS227),2), 2), 2)</f>
        <v>17.82</v>
      </c>
      <c r="AI486">
        <v>0</v>
      </c>
    </row>
    <row r="487" spans="1:35" x14ac:dyDescent="0.2">
      <c r="C487" s="31" t="str">
        <f>"Объем: "&amp;Source!I227&amp;"=78/"&amp;"100"</f>
        <v>Объем: 0,78=78/100</v>
      </c>
    </row>
    <row r="488" spans="1:35" ht="14.25" x14ac:dyDescent="0.2">
      <c r="A488" s="20"/>
      <c r="B488" s="20"/>
      <c r="C488" s="20" t="s">
        <v>1009</v>
      </c>
      <c r="D488" s="22"/>
      <c r="E488" s="21"/>
      <c r="F488" s="24">
        <f>Source!AO227</f>
        <v>80.19</v>
      </c>
      <c r="G488" s="23" t="str">
        <f>Source!DG227</f>
        <v>)*1,15</v>
      </c>
      <c r="H488" s="21">
        <f>Source!AV227</f>
        <v>1</v>
      </c>
      <c r="I488" s="24">
        <f>ROUND((ROUND((Source!AF227*Source!AV227*Source!I227),2)),2)</f>
        <v>71.930000000000007</v>
      </c>
      <c r="J488" s="21">
        <f>IF(Source!BA227&lt;&gt; 0, Source!BA227, 1)</f>
        <v>30.1</v>
      </c>
      <c r="K488" s="24">
        <f>Source!S227</f>
        <v>2165.09</v>
      </c>
      <c r="W488">
        <f>I488</f>
        <v>71.930000000000007</v>
      </c>
    </row>
    <row r="489" spans="1:35" ht="14.25" x14ac:dyDescent="0.2">
      <c r="A489" s="20"/>
      <c r="B489" s="20"/>
      <c r="C489" s="20" t="s">
        <v>1016</v>
      </c>
      <c r="D489" s="22"/>
      <c r="E489" s="21"/>
      <c r="F489" s="24">
        <f>Source!AM227</f>
        <v>4.5</v>
      </c>
      <c r="G489" s="23" t="str">
        <f>Source!DE227</f>
        <v>)*1,25</v>
      </c>
      <c r="H489" s="21">
        <f>Source!AV227</f>
        <v>1</v>
      </c>
      <c r="I489" s="24">
        <f>(ROUND((ROUND((((Source!ET227*1.25))*Source!AV227*Source!I227),2)),2)+ROUND((ROUND(((Source!AE227-((Source!EU227*1.25)))*Source!AV227*Source!I227),2)),2))</f>
        <v>4.3899999999999997</v>
      </c>
      <c r="J489" s="21">
        <f>IF(Source!BB227&lt;&gt; 0, Source!BB227, 1)</f>
        <v>10.48</v>
      </c>
      <c r="K489" s="24">
        <f>Source!Q227</f>
        <v>46.01</v>
      </c>
    </row>
    <row r="490" spans="1:35" ht="14.25" x14ac:dyDescent="0.2">
      <c r="A490" s="20"/>
      <c r="B490" s="20"/>
      <c r="C490" s="20" t="s">
        <v>1017</v>
      </c>
      <c r="D490" s="22"/>
      <c r="E490" s="21"/>
      <c r="F490" s="24">
        <f>Source!AN227</f>
        <v>0.38</v>
      </c>
      <c r="G490" s="23" t="str">
        <f>Source!DF227</f>
        <v>)*1,25</v>
      </c>
      <c r="H490" s="21">
        <f>Source!AV227</f>
        <v>1</v>
      </c>
      <c r="I490" s="32">
        <f>ROUND((ROUND((Source!AE227*Source!AV227*Source!I227),2)),2)</f>
        <v>0.37</v>
      </c>
      <c r="J490" s="21">
        <f>IF(Source!BS227&lt;&gt; 0, Source!BS227, 1)</f>
        <v>30.1</v>
      </c>
      <c r="K490" s="32">
        <f>Source!R227</f>
        <v>11.14</v>
      </c>
      <c r="W490">
        <f>I490</f>
        <v>0.37</v>
      </c>
    </row>
    <row r="491" spans="1:35" ht="14.25" x14ac:dyDescent="0.2">
      <c r="A491" s="20"/>
      <c r="B491" s="20"/>
      <c r="C491" s="20" t="s">
        <v>1019</v>
      </c>
      <c r="D491" s="22"/>
      <c r="E491" s="21"/>
      <c r="F491" s="24">
        <f>Source!AL227</f>
        <v>196.67</v>
      </c>
      <c r="G491" s="23" t="str">
        <f>Source!DD227</f>
        <v/>
      </c>
      <c r="H491" s="21">
        <f>Source!AW227</f>
        <v>1</v>
      </c>
      <c r="I491" s="24">
        <f>ROUND((ROUND((Source!AC227*Source!AW227*Source!I227),2)),2)</f>
        <v>153.4</v>
      </c>
      <c r="J491" s="21">
        <f>IF(Source!BC227&lt;&gt; 0, Source!BC227, 1)</f>
        <v>2.23</v>
      </c>
      <c r="K491" s="24">
        <f>Source!P227</f>
        <v>342.08</v>
      </c>
    </row>
    <row r="492" spans="1:35" ht="42.75" x14ac:dyDescent="0.2">
      <c r="A492" s="20" t="s">
        <v>509</v>
      </c>
      <c r="B492" s="20" t="str">
        <f>Source!F228</f>
        <v>1.1-1-289</v>
      </c>
      <c r="C492" s="20" t="s">
        <v>511</v>
      </c>
      <c r="D492" s="22" t="str">
        <f>Source!H228</f>
        <v>м</v>
      </c>
      <c r="E492" s="21">
        <f>Source!I228</f>
        <v>78.78</v>
      </c>
      <c r="F492" s="24">
        <f>Source!AK228</f>
        <v>22.18</v>
      </c>
      <c r="G492" s="33" t="s">
        <v>3</v>
      </c>
      <c r="H492" s="21">
        <f>Source!AW228</f>
        <v>1</v>
      </c>
      <c r="I492" s="24">
        <f>ROUND((ROUND((Source!AC228*Source!AW228*Source!I228),2)),2)+(ROUND((ROUND(((Source!ET228)*Source!AV228*Source!I228),2)),2)+ROUND((ROUND(((Source!AE228-(Source!EU228))*Source!AV228*Source!I228),2)),2))+ROUND((ROUND((Source!AF228*Source!AV228*Source!I228),2)),2)</f>
        <v>1747.34</v>
      </c>
      <c r="J492" s="21">
        <f>IF(Source!BC228&lt;&gt; 0, Source!BC228, 1)</f>
        <v>1.69</v>
      </c>
      <c r="K492" s="24">
        <f>Source!O228</f>
        <v>2953</v>
      </c>
      <c r="Q492">
        <f>ROUND((Source!DN228/100)*ROUND((ROUND((Source!AF228*Source!AV228*Source!I228),2)),2), 2)</f>
        <v>0</v>
      </c>
      <c r="R492">
        <f>Source!X228</f>
        <v>0</v>
      </c>
      <c r="S492">
        <f>ROUND((Source!DO228/100)*ROUND((ROUND((Source!AF228*Source!AV228*Source!I228),2)),2), 2)</f>
        <v>0</v>
      </c>
      <c r="T492">
        <f>Source!Y228</f>
        <v>0</v>
      </c>
      <c r="U492">
        <f>ROUND((175/100)*ROUND((ROUND((Source!AE228*Source!AV228*Source!I228),2)),2), 2)</f>
        <v>0</v>
      </c>
      <c r="V492">
        <f>ROUND((160/100)*ROUND(ROUND((ROUND((Source!AE228*Source!AV228*Source!I228),2)*Source!BS228),2), 2), 2)</f>
        <v>0</v>
      </c>
      <c r="X492">
        <f>IF(Source!BI228&lt;=1,I492, 0)</f>
        <v>1747.34</v>
      </c>
      <c r="Y492">
        <f>IF(Source!BI228=2,I492, 0)</f>
        <v>0</v>
      </c>
      <c r="Z492">
        <f>IF(Source!BI228=3,I492, 0)</f>
        <v>0</v>
      </c>
      <c r="AA492">
        <f>IF(Source!BI228=4,I492, 0)</f>
        <v>0</v>
      </c>
      <c r="AI492">
        <v>3</v>
      </c>
    </row>
    <row r="493" spans="1:35" ht="14.25" x14ac:dyDescent="0.2">
      <c r="A493" s="20"/>
      <c r="B493" s="20"/>
      <c r="C493" s="20" t="s">
        <v>1010</v>
      </c>
      <c r="D493" s="22" t="s">
        <v>1011</v>
      </c>
      <c r="E493" s="21">
        <f>Source!DN227</f>
        <v>104</v>
      </c>
      <c r="F493" s="24"/>
      <c r="G493" s="23"/>
      <c r="H493" s="21"/>
      <c r="I493" s="24">
        <f>SUM(Q486:Q492)</f>
        <v>74.81</v>
      </c>
      <c r="J493" s="21">
        <f>Source!BZ227</f>
        <v>87</v>
      </c>
      <c r="K493" s="24">
        <f>SUM(R486:R492)</f>
        <v>1883.63</v>
      </c>
    </row>
    <row r="494" spans="1:35" ht="14.25" x14ac:dyDescent="0.2">
      <c r="A494" s="20"/>
      <c r="B494" s="20"/>
      <c r="C494" s="20" t="s">
        <v>1012</v>
      </c>
      <c r="D494" s="22" t="s">
        <v>1011</v>
      </c>
      <c r="E494" s="21">
        <f>Source!DO227</f>
        <v>70</v>
      </c>
      <c r="F494" s="24"/>
      <c r="G494" s="23"/>
      <c r="H494" s="21"/>
      <c r="I494" s="24">
        <f>SUM(S486:S493)</f>
        <v>50.35</v>
      </c>
      <c r="J494" s="21">
        <f>Source!CA227</f>
        <v>41</v>
      </c>
      <c r="K494" s="24">
        <f>SUM(T486:T493)</f>
        <v>887.69</v>
      </c>
    </row>
    <row r="495" spans="1:35" ht="14.25" x14ac:dyDescent="0.2">
      <c r="A495" s="20"/>
      <c r="B495" s="20"/>
      <c r="C495" s="20" t="s">
        <v>1018</v>
      </c>
      <c r="D495" s="22" t="s">
        <v>1011</v>
      </c>
      <c r="E495" s="21">
        <f>175</f>
        <v>175</v>
      </c>
      <c r="F495" s="24"/>
      <c r="G495" s="23"/>
      <c r="H495" s="21"/>
      <c r="I495" s="24">
        <f>SUM(U486:U494)</f>
        <v>0.65</v>
      </c>
      <c r="J495" s="21">
        <f>160</f>
        <v>160</v>
      </c>
      <c r="K495" s="24">
        <f>SUM(V486:V494)</f>
        <v>17.82</v>
      </c>
    </row>
    <row r="496" spans="1:35" ht="14.25" x14ac:dyDescent="0.2">
      <c r="A496" s="26"/>
      <c r="B496" s="26"/>
      <c r="C496" s="26" t="s">
        <v>1013</v>
      </c>
      <c r="D496" s="27" t="s">
        <v>1014</v>
      </c>
      <c r="E496" s="28">
        <f>Source!AQ227</f>
        <v>6.66</v>
      </c>
      <c r="F496" s="29"/>
      <c r="G496" s="30" t="str">
        <f>Source!DI227</f>
        <v>)*1,15</v>
      </c>
      <c r="H496" s="28">
        <f>Source!AV227</f>
        <v>1</v>
      </c>
      <c r="I496" s="29">
        <f>Source!U227</f>
        <v>5.9740200000000003</v>
      </c>
      <c r="J496" s="28"/>
      <c r="K496" s="29"/>
      <c r="AB496" s="25">
        <f>I496</f>
        <v>5.9740200000000003</v>
      </c>
    </row>
    <row r="497" spans="1:35" ht="15" x14ac:dyDescent="0.25">
      <c r="C497" s="13" t="s">
        <v>1015</v>
      </c>
      <c r="H497" s="50">
        <f>I488+I489+I491+I493+I494+I495+SUM(I492:I492)</f>
        <v>2102.87</v>
      </c>
      <c r="I497" s="50"/>
      <c r="J497" s="50">
        <f>K488+K489+K491+K493+K494+K495+SUM(K492:K492)</f>
        <v>8295.32</v>
      </c>
      <c r="K497" s="50"/>
      <c r="O497" s="25">
        <f>I488+I489+I491+I493+I494+I495+SUM(I492:I492)</f>
        <v>2102.87</v>
      </c>
      <c r="P497" s="25">
        <f>K488+K489+K491+K493+K494+K495+SUM(K492:K492)</f>
        <v>8295.32</v>
      </c>
      <c r="X497">
        <f>IF(Source!BI227&lt;=1,I488+I489+I491+I493+I494+I495-0, 0)</f>
        <v>355.53000000000003</v>
      </c>
      <c r="Y497">
        <f>IF(Source!BI227=2,I488+I489+I491+I493+I494+I495-0, 0)</f>
        <v>0</v>
      </c>
      <c r="Z497">
        <f>IF(Source!BI227=3,I488+I489+I491+I493+I494+I495-0, 0)</f>
        <v>0</v>
      </c>
      <c r="AA497">
        <f>IF(Source!BI227=4,I488+I489+I491+I493+I494+I495,0)</f>
        <v>0</v>
      </c>
    </row>
    <row r="499" spans="1:35" ht="28.5" x14ac:dyDescent="0.2">
      <c r="A499" s="20">
        <v>37</v>
      </c>
      <c r="B499" s="20" t="str">
        <f>Source!F229</f>
        <v>3.11-39-1</v>
      </c>
      <c r="C499" s="20" t="s">
        <v>515</v>
      </c>
      <c r="D499" s="22" t="str">
        <f>Source!H229</f>
        <v>100 м</v>
      </c>
      <c r="E499" s="21">
        <f>Source!I229</f>
        <v>0.02</v>
      </c>
      <c r="F499" s="24"/>
      <c r="G499" s="23"/>
      <c r="H499" s="21"/>
      <c r="I499" s="24"/>
      <c r="J499" s="21"/>
      <c r="K499" s="24"/>
      <c r="Q499">
        <f>ROUND((Source!DN229/100)*ROUND((ROUND((Source!AF229*Source!AV229*Source!I229),2)),2), 2)</f>
        <v>4.53</v>
      </c>
      <c r="R499">
        <f>Source!X229</f>
        <v>114.18</v>
      </c>
      <c r="S499">
        <f>ROUND((Source!DO229/100)*ROUND((ROUND((Source!AF229*Source!AV229*Source!I229),2)),2), 2)</f>
        <v>3.05</v>
      </c>
      <c r="T499">
        <f>Source!Y229</f>
        <v>53.81</v>
      </c>
      <c r="U499">
        <f>ROUND((175/100)*ROUND((ROUND((Source!AE229*Source!AV229*Source!I229),2)),2), 2)</f>
        <v>0.02</v>
      </c>
      <c r="V499">
        <f>ROUND((160/100)*ROUND(ROUND((ROUND((Source!AE229*Source!AV229*Source!I229),2)*Source!BS229),2), 2), 2)</f>
        <v>0.48</v>
      </c>
      <c r="AI499">
        <v>0</v>
      </c>
    </row>
    <row r="500" spans="1:35" x14ac:dyDescent="0.2">
      <c r="C500" s="31" t="str">
        <f>"Объем: "&amp;Source!I229&amp;"=2/"&amp;"100"</f>
        <v>Объем: 0,02=2/100</v>
      </c>
    </row>
    <row r="501" spans="1:35" ht="14.25" x14ac:dyDescent="0.2">
      <c r="A501" s="20"/>
      <c r="B501" s="20"/>
      <c r="C501" s="20" t="s">
        <v>1009</v>
      </c>
      <c r="D501" s="22"/>
      <c r="E501" s="21"/>
      <c r="F501" s="24">
        <f>Source!AO229</f>
        <v>189.38</v>
      </c>
      <c r="G501" s="23" t="str">
        <f>Source!DG229</f>
        <v>)*1,15</v>
      </c>
      <c r="H501" s="21">
        <f>Source!AV229</f>
        <v>1</v>
      </c>
      <c r="I501" s="24">
        <f>ROUND((ROUND((Source!AF229*Source!AV229*Source!I229),2)),2)</f>
        <v>4.3600000000000003</v>
      </c>
      <c r="J501" s="21">
        <f>IF(Source!BA229&lt;&gt; 0, Source!BA229, 1)</f>
        <v>30.1</v>
      </c>
      <c r="K501" s="24">
        <f>Source!S229</f>
        <v>131.24</v>
      </c>
      <c r="W501">
        <f>I501</f>
        <v>4.3600000000000003</v>
      </c>
    </row>
    <row r="502" spans="1:35" ht="14.25" x14ac:dyDescent="0.2">
      <c r="A502" s="20"/>
      <c r="B502" s="20"/>
      <c r="C502" s="20" t="s">
        <v>1016</v>
      </c>
      <c r="D502" s="22"/>
      <c r="E502" s="21"/>
      <c r="F502" s="24">
        <f>Source!AM229</f>
        <v>7.97</v>
      </c>
      <c r="G502" s="23" t="str">
        <f>Source!DE229</f>
        <v>)*1,25</v>
      </c>
      <c r="H502" s="21">
        <f>Source!AV229</f>
        <v>1</v>
      </c>
      <c r="I502" s="24">
        <f>(ROUND((ROUND((((Source!ET229*1.25))*Source!AV229*Source!I229),2)),2)+ROUND((ROUND(((Source!AE229-((Source!EU229*1.25)))*Source!AV229*Source!I229),2)),2))</f>
        <v>0.2</v>
      </c>
      <c r="J502" s="21">
        <f>IF(Source!BB229&lt;&gt; 0, Source!BB229, 1)</f>
        <v>9.24</v>
      </c>
      <c r="K502" s="24">
        <f>Source!Q229</f>
        <v>1.85</v>
      </c>
    </row>
    <row r="503" spans="1:35" ht="14.25" x14ac:dyDescent="0.2">
      <c r="A503" s="20"/>
      <c r="B503" s="20"/>
      <c r="C503" s="20" t="s">
        <v>1017</v>
      </c>
      <c r="D503" s="22"/>
      <c r="E503" s="21"/>
      <c r="F503" s="24">
        <f>Source!AN229</f>
        <v>0.25</v>
      </c>
      <c r="G503" s="23" t="str">
        <f>Source!DF229</f>
        <v>)*1,25</v>
      </c>
      <c r="H503" s="21">
        <f>Source!AV229</f>
        <v>1</v>
      </c>
      <c r="I503" s="32">
        <f>ROUND((ROUND((Source!AE229*Source!AV229*Source!I229),2)),2)</f>
        <v>0.01</v>
      </c>
      <c r="J503" s="21">
        <f>IF(Source!BS229&lt;&gt; 0, Source!BS229, 1)</f>
        <v>30.1</v>
      </c>
      <c r="K503" s="32">
        <f>Source!R229</f>
        <v>0.3</v>
      </c>
      <c r="W503">
        <f>I503</f>
        <v>0.01</v>
      </c>
    </row>
    <row r="504" spans="1:35" ht="14.25" x14ac:dyDescent="0.2">
      <c r="A504" s="20"/>
      <c r="B504" s="20"/>
      <c r="C504" s="20" t="s">
        <v>1019</v>
      </c>
      <c r="D504" s="22"/>
      <c r="E504" s="21"/>
      <c r="F504" s="24">
        <f>Source!AL229</f>
        <v>45.26</v>
      </c>
      <c r="G504" s="23" t="str">
        <f>Source!DD229</f>
        <v/>
      </c>
      <c r="H504" s="21">
        <f>Source!AW229</f>
        <v>1</v>
      </c>
      <c r="I504" s="24">
        <f>ROUND((ROUND((Source!AC229*Source!AW229*Source!I229),2)),2)</f>
        <v>0.91</v>
      </c>
      <c r="J504" s="21">
        <f>IF(Source!BC229&lt;&gt; 0, Source!BC229, 1)</f>
        <v>3.65</v>
      </c>
      <c r="K504" s="24">
        <f>Source!P229</f>
        <v>3.32</v>
      </c>
    </row>
    <row r="505" spans="1:35" ht="57" x14ac:dyDescent="0.2">
      <c r="A505" s="20" t="s">
        <v>519</v>
      </c>
      <c r="B505" s="20" t="str">
        <f>Source!F230</f>
        <v>1.7-12-44</v>
      </c>
      <c r="C505" s="20" t="s">
        <v>521</v>
      </c>
      <c r="D505" s="22" t="str">
        <f>Source!H230</f>
        <v>м</v>
      </c>
      <c r="E505" s="21">
        <f>Source!I230</f>
        <v>2.1</v>
      </c>
      <c r="F505" s="24">
        <f>Source!AK230</f>
        <v>16.07</v>
      </c>
      <c r="G505" s="33" t="s">
        <v>3</v>
      </c>
      <c r="H505" s="21">
        <f>Source!AW230</f>
        <v>1</v>
      </c>
      <c r="I505" s="24">
        <f>ROUND((ROUND((Source!AC230*Source!AW230*Source!I230),2)),2)+(ROUND((ROUND(((Source!ET230)*Source!AV230*Source!I230),2)),2)+ROUND((ROUND(((Source!AE230-(Source!EU230))*Source!AV230*Source!I230),2)),2))+ROUND((ROUND((Source!AF230*Source!AV230*Source!I230),2)),2)</f>
        <v>33.75</v>
      </c>
      <c r="J505" s="21">
        <f>IF(Source!BC230&lt;&gt; 0, Source!BC230, 1)</f>
        <v>8.23</v>
      </c>
      <c r="K505" s="24">
        <f>Source!O230</f>
        <v>277.76</v>
      </c>
      <c r="Q505">
        <f>ROUND((Source!DN230/100)*ROUND((ROUND((Source!AF230*Source!AV230*Source!I230),2)),2), 2)</f>
        <v>0</v>
      </c>
      <c r="R505">
        <f>Source!X230</f>
        <v>0</v>
      </c>
      <c r="S505">
        <f>ROUND((Source!DO230/100)*ROUND((ROUND((Source!AF230*Source!AV230*Source!I230),2)),2), 2)</f>
        <v>0</v>
      </c>
      <c r="T505">
        <f>Source!Y230</f>
        <v>0</v>
      </c>
      <c r="U505">
        <f>ROUND((175/100)*ROUND((ROUND((Source!AE230*Source!AV230*Source!I230),2)),2), 2)</f>
        <v>0</v>
      </c>
      <c r="V505">
        <f>ROUND((160/100)*ROUND(ROUND((ROUND((Source!AE230*Source!AV230*Source!I230),2)*Source!BS230),2), 2), 2)</f>
        <v>0</v>
      </c>
      <c r="X505">
        <f>IF(Source!BI230&lt;=1,I505, 0)</f>
        <v>33.75</v>
      </c>
      <c r="Y505">
        <f>IF(Source!BI230=2,I505, 0)</f>
        <v>0</v>
      </c>
      <c r="Z505">
        <f>IF(Source!BI230=3,I505, 0)</f>
        <v>0</v>
      </c>
      <c r="AA505">
        <f>IF(Source!BI230=4,I505, 0)</f>
        <v>0</v>
      </c>
      <c r="AI505">
        <v>3</v>
      </c>
    </row>
    <row r="506" spans="1:35" ht="14.25" x14ac:dyDescent="0.2">
      <c r="A506" s="20"/>
      <c r="B506" s="20"/>
      <c r="C506" s="20" t="s">
        <v>1010</v>
      </c>
      <c r="D506" s="22" t="s">
        <v>1011</v>
      </c>
      <c r="E506" s="21">
        <f>Source!DN229</f>
        <v>104</v>
      </c>
      <c r="F506" s="24"/>
      <c r="G506" s="23"/>
      <c r="H506" s="21"/>
      <c r="I506" s="24">
        <f>SUM(Q499:Q505)</f>
        <v>4.53</v>
      </c>
      <c r="J506" s="21">
        <f>Source!BZ229</f>
        <v>87</v>
      </c>
      <c r="K506" s="24">
        <f>SUM(R499:R505)</f>
        <v>114.18</v>
      </c>
    </row>
    <row r="507" spans="1:35" ht="14.25" x14ac:dyDescent="0.2">
      <c r="A507" s="20"/>
      <c r="B507" s="20"/>
      <c r="C507" s="20" t="s">
        <v>1012</v>
      </c>
      <c r="D507" s="22" t="s">
        <v>1011</v>
      </c>
      <c r="E507" s="21">
        <f>Source!DO229</f>
        <v>70</v>
      </c>
      <c r="F507" s="24"/>
      <c r="G507" s="23"/>
      <c r="H507" s="21"/>
      <c r="I507" s="24">
        <f>SUM(S499:S506)</f>
        <v>3.05</v>
      </c>
      <c r="J507" s="21">
        <f>Source!CA229</f>
        <v>41</v>
      </c>
      <c r="K507" s="24">
        <f>SUM(T499:T506)</f>
        <v>53.81</v>
      </c>
    </row>
    <row r="508" spans="1:35" ht="14.25" x14ac:dyDescent="0.2">
      <c r="A508" s="20"/>
      <c r="B508" s="20"/>
      <c r="C508" s="20" t="s">
        <v>1018</v>
      </c>
      <c r="D508" s="22" t="s">
        <v>1011</v>
      </c>
      <c r="E508" s="21">
        <f>175</f>
        <v>175</v>
      </c>
      <c r="F508" s="24"/>
      <c r="G508" s="23"/>
      <c r="H508" s="21"/>
      <c r="I508" s="24">
        <f>SUM(U499:U507)</f>
        <v>0.02</v>
      </c>
      <c r="J508" s="21">
        <f>160</f>
        <v>160</v>
      </c>
      <c r="K508" s="24">
        <f>SUM(V499:V507)</f>
        <v>0.48</v>
      </c>
    </row>
    <row r="509" spans="1:35" ht="14.25" x14ac:dyDescent="0.2">
      <c r="A509" s="26"/>
      <c r="B509" s="26"/>
      <c r="C509" s="26" t="s">
        <v>1013</v>
      </c>
      <c r="D509" s="27" t="s">
        <v>1014</v>
      </c>
      <c r="E509" s="28">
        <f>Source!AQ229</f>
        <v>16.64</v>
      </c>
      <c r="F509" s="29"/>
      <c r="G509" s="30" t="str">
        <f>Source!DI229</f>
        <v>)*1,15</v>
      </c>
      <c r="H509" s="28">
        <f>Source!AV229</f>
        <v>1</v>
      </c>
      <c r="I509" s="29">
        <f>Source!U229</f>
        <v>0.38272</v>
      </c>
      <c r="J509" s="28"/>
      <c r="K509" s="29"/>
      <c r="AB509" s="25">
        <f>I509</f>
        <v>0.38272</v>
      </c>
    </row>
    <row r="510" spans="1:35" ht="15" x14ac:dyDescent="0.25">
      <c r="C510" s="13" t="s">
        <v>1015</v>
      </c>
      <c r="H510" s="50">
        <f>I501+I502+I504+I506+I507+I508+SUM(I505:I505)</f>
        <v>46.82</v>
      </c>
      <c r="I510" s="50"/>
      <c r="J510" s="50">
        <f>K501+K502+K504+K506+K507+K508+SUM(K505:K505)</f>
        <v>582.64</v>
      </c>
      <c r="K510" s="50"/>
      <c r="O510" s="25">
        <f>I501+I502+I504+I506+I507+I508+SUM(I505:I505)</f>
        <v>46.82</v>
      </c>
      <c r="P510" s="25">
        <f>K501+K502+K504+K506+K507+K508+SUM(K505:K505)</f>
        <v>582.64</v>
      </c>
      <c r="X510">
        <f>IF(Source!BI229&lt;=1,I501+I502+I504+I506+I507+I508-0, 0)</f>
        <v>13.07</v>
      </c>
      <c r="Y510">
        <f>IF(Source!BI229=2,I501+I502+I504+I506+I507+I508-0, 0)</f>
        <v>0</v>
      </c>
      <c r="Z510">
        <f>IF(Source!BI229=3,I501+I502+I504+I506+I507+I508-0, 0)</f>
        <v>0</v>
      </c>
      <c r="AA510">
        <f>IF(Source!BI229=4,I501+I502+I504+I506+I507+I508,0)</f>
        <v>0</v>
      </c>
    </row>
    <row r="513" spans="1:35" ht="15" x14ac:dyDescent="0.25">
      <c r="A513" s="54" t="str">
        <f>CONCATENATE("Итого по разделу: ",IF(Source!G232&lt;&gt;"Новый раздел", Source!G232, ""))</f>
        <v>Итого по разделу: Полы</v>
      </c>
      <c r="B513" s="54"/>
      <c r="C513" s="54"/>
      <c r="D513" s="54"/>
      <c r="E513" s="54"/>
      <c r="F513" s="54"/>
      <c r="G513" s="54"/>
      <c r="H513" s="52">
        <f>SUM(O328:O512)</f>
        <v>110010.8</v>
      </c>
      <c r="I513" s="53"/>
      <c r="J513" s="52">
        <f>SUM(P328:P512)</f>
        <v>865274.57</v>
      </c>
      <c r="K513" s="53"/>
    </row>
    <row r="514" spans="1:35" hidden="1" x14ac:dyDescent="0.2">
      <c r="A514" t="s">
        <v>1020</v>
      </c>
      <c r="H514">
        <f>SUM(AC328:AC513)</f>
        <v>0</v>
      </c>
      <c r="J514">
        <f>SUM(AD328:AD513)</f>
        <v>0</v>
      </c>
    </row>
    <row r="515" spans="1:35" hidden="1" x14ac:dyDescent="0.2">
      <c r="A515" t="s">
        <v>1021</v>
      </c>
      <c r="H515">
        <f>SUM(AE328:AE514)</f>
        <v>0</v>
      </c>
      <c r="J515">
        <f>SUM(AF328:AF514)</f>
        <v>0</v>
      </c>
    </row>
    <row r="517" spans="1:35" ht="16.5" x14ac:dyDescent="0.25">
      <c r="A517" s="43" t="str">
        <f>CONCATENATE("Раздел: ",IF(Source!G262&lt;&gt;"Новый раздел", Source!G262, ""))</f>
        <v>Раздел: Двери</v>
      </c>
      <c r="B517" s="43"/>
      <c r="C517" s="43"/>
      <c r="D517" s="43"/>
      <c r="E517" s="43"/>
      <c r="F517" s="43"/>
      <c r="G517" s="43"/>
      <c r="H517" s="43"/>
      <c r="I517" s="43"/>
      <c r="J517" s="43"/>
      <c r="K517" s="43"/>
    </row>
    <row r="518" spans="1:35" ht="42.75" x14ac:dyDescent="0.2">
      <c r="A518" s="20">
        <v>38</v>
      </c>
      <c r="B518" s="20" t="str">
        <f>Source!F266</f>
        <v>3.9-74-1</v>
      </c>
      <c r="C518" s="20" t="s">
        <v>526</v>
      </c>
      <c r="D518" s="22" t="str">
        <f>Source!H266</f>
        <v>10 шт.</v>
      </c>
      <c r="E518" s="21">
        <f>Source!I266</f>
        <v>0.7</v>
      </c>
      <c r="F518" s="24"/>
      <c r="G518" s="23"/>
      <c r="H518" s="21"/>
      <c r="I518" s="24"/>
      <c r="J518" s="21"/>
      <c r="K518" s="24"/>
      <c r="Q518">
        <f>ROUND((Source!DN266/100)*ROUND((ROUND((Source!AF266*Source!AV266*Source!I266),2)),2), 2)</f>
        <v>235.78</v>
      </c>
      <c r="R518">
        <f>Source!X266</f>
        <v>5706.74</v>
      </c>
      <c r="S518">
        <f>ROUND((Source!DO266/100)*ROUND((ROUND((Source!AF266*Source!AV266*Source!I266),2)),2), 2)</f>
        <v>194.17</v>
      </c>
      <c r="T518">
        <f>Source!Y266</f>
        <v>3342.52</v>
      </c>
      <c r="U518">
        <f>ROUND((175/100)*ROUND((ROUND((Source!AE266*Source!AV266*Source!I266),2)),2), 2)</f>
        <v>1.77</v>
      </c>
      <c r="V518">
        <f>ROUND((160/100)*ROUND(ROUND((ROUND((Source!AE266*Source!AV266*Source!I266),2)*Source!BS266),2), 2), 2)</f>
        <v>47.49</v>
      </c>
      <c r="AI518">
        <v>0</v>
      </c>
    </row>
    <row r="519" spans="1:35" x14ac:dyDescent="0.2">
      <c r="C519" s="31" t="str">
        <f>"Объем: "&amp;Source!I266&amp;"=7/"&amp;"10"</f>
        <v>Объем: 0,7=7/10</v>
      </c>
    </row>
    <row r="520" spans="1:35" ht="14.25" x14ac:dyDescent="0.2">
      <c r="A520" s="20"/>
      <c r="B520" s="20"/>
      <c r="C520" s="20" t="s">
        <v>1009</v>
      </c>
      <c r="D520" s="22"/>
      <c r="E520" s="21"/>
      <c r="F520" s="24">
        <f>Source!AO266</f>
        <v>660.45</v>
      </c>
      <c r="G520" s="23" t="str">
        <f>Source!DG266</f>
        <v>)*0,6</v>
      </c>
      <c r="H520" s="21">
        <f>Source!AV266</f>
        <v>1</v>
      </c>
      <c r="I520" s="24">
        <f>ROUND((ROUND((Source!AF266*Source!AV266*Source!I266),2)),2)</f>
        <v>277.39</v>
      </c>
      <c r="J520" s="21">
        <f>IF(Source!BA266&lt;&gt; 0, Source!BA266, 1)</f>
        <v>29.39</v>
      </c>
      <c r="K520" s="24">
        <f>Source!S266</f>
        <v>8152.49</v>
      </c>
      <c r="W520">
        <f>I520</f>
        <v>277.39</v>
      </c>
    </row>
    <row r="521" spans="1:35" ht="14.25" x14ac:dyDescent="0.2">
      <c r="A521" s="20"/>
      <c r="B521" s="20"/>
      <c r="C521" s="20" t="s">
        <v>1016</v>
      </c>
      <c r="D521" s="22"/>
      <c r="E521" s="21"/>
      <c r="F521" s="24">
        <f>Source!AM266</f>
        <v>19.91</v>
      </c>
      <c r="G521" s="23" t="str">
        <f>Source!DE266</f>
        <v>)*0,6</v>
      </c>
      <c r="H521" s="21">
        <f>Source!AV266</f>
        <v>1</v>
      </c>
      <c r="I521" s="24">
        <f>(ROUND((ROUND((((Source!ET266*0.6))*Source!AV266*Source!I266),2)),2)+ROUND((ROUND(((Source!AE266-((Source!EU266*0.6)))*Source!AV266*Source!I266),2)),2))</f>
        <v>8.36</v>
      </c>
      <c r="J521" s="21">
        <f>IF(Source!BB266&lt;&gt; 0, Source!BB266, 1)</f>
        <v>11.28</v>
      </c>
      <c r="K521" s="24">
        <f>Source!Q266</f>
        <v>94.3</v>
      </c>
    </row>
    <row r="522" spans="1:35" ht="14.25" x14ac:dyDescent="0.2">
      <c r="A522" s="20"/>
      <c r="B522" s="20"/>
      <c r="C522" s="20" t="s">
        <v>1017</v>
      </c>
      <c r="D522" s="22"/>
      <c r="E522" s="21"/>
      <c r="F522" s="24">
        <f>Source!AN266</f>
        <v>2.4</v>
      </c>
      <c r="G522" s="23" t="str">
        <f>Source!DF266</f>
        <v>)*0,6</v>
      </c>
      <c r="H522" s="21">
        <f>Source!AV266</f>
        <v>1</v>
      </c>
      <c r="I522" s="32">
        <f>ROUND((ROUND((Source!AE266*Source!AV266*Source!I266),2)),2)</f>
        <v>1.01</v>
      </c>
      <c r="J522" s="21">
        <f>IF(Source!BS266&lt;&gt; 0, Source!BS266, 1)</f>
        <v>29.39</v>
      </c>
      <c r="K522" s="32">
        <f>Source!R266</f>
        <v>29.68</v>
      </c>
      <c r="W522">
        <f>I522</f>
        <v>1.01</v>
      </c>
    </row>
    <row r="523" spans="1:35" ht="14.25" x14ac:dyDescent="0.2">
      <c r="A523" s="20"/>
      <c r="B523" s="20"/>
      <c r="C523" s="20" t="s">
        <v>1010</v>
      </c>
      <c r="D523" s="22" t="s">
        <v>1011</v>
      </c>
      <c r="E523" s="21">
        <f>Source!DN266</f>
        <v>85</v>
      </c>
      <c r="F523" s="24"/>
      <c r="G523" s="23"/>
      <c r="H523" s="21"/>
      <c r="I523" s="24">
        <f>SUM(Q518:Q522)</f>
        <v>235.78</v>
      </c>
      <c r="J523" s="21">
        <f>Source!BZ266</f>
        <v>70</v>
      </c>
      <c r="K523" s="24">
        <f>SUM(R518:R522)</f>
        <v>5706.74</v>
      </c>
    </row>
    <row r="524" spans="1:35" ht="14.25" x14ac:dyDescent="0.2">
      <c r="A524" s="20"/>
      <c r="B524" s="20"/>
      <c r="C524" s="20" t="s">
        <v>1012</v>
      </c>
      <c r="D524" s="22" t="s">
        <v>1011</v>
      </c>
      <c r="E524" s="21">
        <f>Source!DO266</f>
        <v>70</v>
      </c>
      <c r="F524" s="24"/>
      <c r="G524" s="23"/>
      <c r="H524" s="21"/>
      <c r="I524" s="24">
        <f>SUM(S518:S523)</f>
        <v>194.17</v>
      </c>
      <c r="J524" s="21">
        <f>Source!CA266</f>
        <v>41</v>
      </c>
      <c r="K524" s="24">
        <f>SUM(T518:T523)</f>
        <v>3342.52</v>
      </c>
    </row>
    <row r="525" spans="1:35" ht="14.25" x14ac:dyDescent="0.2">
      <c r="A525" s="20"/>
      <c r="B525" s="20"/>
      <c r="C525" s="20" t="s">
        <v>1018</v>
      </c>
      <c r="D525" s="22" t="s">
        <v>1011</v>
      </c>
      <c r="E525" s="21">
        <f>175</f>
        <v>175</v>
      </c>
      <c r="F525" s="24"/>
      <c r="G525" s="23"/>
      <c r="H525" s="21"/>
      <c r="I525" s="24">
        <f>SUM(U518:U524)</f>
        <v>1.77</v>
      </c>
      <c r="J525" s="21">
        <f>160</f>
        <v>160</v>
      </c>
      <c r="K525" s="24">
        <f>SUM(V518:V524)</f>
        <v>47.49</v>
      </c>
    </row>
    <row r="526" spans="1:35" ht="14.25" x14ac:dyDescent="0.2">
      <c r="A526" s="26"/>
      <c r="B526" s="26"/>
      <c r="C526" s="26" t="s">
        <v>1013</v>
      </c>
      <c r="D526" s="27" t="s">
        <v>1014</v>
      </c>
      <c r="E526" s="28">
        <f>Source!AQ266</f>
        <v>56.18</v>
      </c>
      <c r="F526" s="29"/>
      <c r="G526" s="30" t="str">
        <f>Source!DI266</f>
        <v>)*0,6</v>
      </c>
      <c r="H526" s="28">
        <f>Source!AV266</f>
        <v>1</v>
      </c>
      <c r="I526" s="29">
        <f>Source!U266</f>
        <v>23.595599999999997</v>
      </c>
      <c r="J526" s="28"/>
      <c r="K526" s="29"/>
      <c r="AB526" s="25">
        <f>I526</f>
        <v>23.595599999999997</v>
      </c>
    </row>
    <row r="527" spans="1:35" ht="15" x14ac:dyDescent="0.25">
      <c r="C527" s="13" t="s">
        <v>1015</v>
      </c>
      <c r="H527" s="50">
        <f>I520+I521+I523+I524+I525+0</f>
        <v>717.46999999999991</v>
      </c>
      <c r="I527" s="50"/>
      <c r="J527" s="50">
        <f>K520+K521+K523+K524+K525+0</f>
        <v>17343.54</v>
      </c>
      <c r="K527" s="50"/>
      <c r="O527" s="25">
        <f>I520+I521+I523+I524+I525+0</f>
        <v>717.46999999999991</v>
      </c>
      <c r="P527" s="25">
        <f>K520+K521+K523+K524+K525+0</f>
        <v>17343.54</v>
      </c>
      <c r="X527">
        <f>IF(Source!BI266&lt;=1,I520+I521+I523+I524+I525-0, 0)</f>
        <v>717.46999999999991</v>
      </c>
      <c r="Y527">
        <f>IF(Source!BI266=2,I520+I521+I523+I524+I525-0, 0)</f>
        <v>0</v>
      </c>
      <c r="Z527">
        <f>IF(Source!BI266=3,I520+I521+I523+I524+I525-0, 0)</f>
        <v>0</v>
      </c>
      <c r="AA527">
        <f>IF(Source!BI266=4,I520+I521+I523+I524+I525,0)</f>
        <v>0</v>
      </c>
    </row>
    <row r="529" spans="1:35" ht="42.75" x14ac:dyDescent="0.2">
      <c r="A529" s="20">
        <v>39</v>
      </c>
      <c r="B529" s="20" t="str">
        <f>Source!F267</f>
        <v>3.9-74-1</v>
      </c>
      <c r="C529" s="20" t="s">
        <v>532</v>
      </c>
      <c r="D529" s="22" t="str">
        <f>Source!H267</f>
        <v>10 шт.</v>
      </c>
      <c r="E529" s="21">
        <f>Source!I267</f>
        <v>0.7</v>
      </c>
      <c r="F529" s="24"/>
      <c r="G529" s="23"/>
      <c r="H529" s="21"/>
      <c r="I529" s="24"/>
      <c r="J529" s="21"/>
      <c r="K529" s="24"/>
      <c r="Q529">
        <f>ROUND((Source!DN267/100)*ROUND((ROUND((Source!AF267*Source!AV267*Source!I267),2)),2), 2)</f>
        <v>451.91</v>
      </c>
      <c r="R529">
        <f>Source!X267</f>
        <v>10937.84</v>
      </c>
      <c r="S529">
        <f>ROUND((Source!DO267/100)*ROUND((ROUND((Source!AF267*Source!AV267*Source!I267),2)),2), 2)</f>
        <v>372.16</v>
      </c>
      <c r="T529">
        <f>Source!Y267</f>
        <v>6406.45</v>
      </c>
      <c r="U529">
        <f>ROUND((175/100)*ROUND((ROUND((Source!AE267*Source!AV267*Source!I267),2)),2), 2)</f>
        <v>3.68</v>
      </c>
      <c r="V529">
        <f>ROUND((160/100)*ROUND(ROUND((ROUND((Source!AE267*Source!AV267*Source!I267),2)*Source!BS267),2), 2), 2)</f>
        <v>98.75</v>
      </c>
      <c r="AI529">
        <v>0</v>
      </c>
    </row>
    <row r="530" spans="1:35" x14ac:dyDescent="0.2">
      <c r="C530" s="31" t="str">
        <f>"Объем: "&amp;Source!I267&amp;"=7/"&amp;"10"</f>
        <v>Объем: 0,7=7/10</v>
      </c>
    </row>
    <row r="531" spans="1:35" ht="14.25" x14ac:dyDescent="0.2">
      <c r="A531" s="20"/>
      <c r="B531" s="20"/>
      <c r="C531" s="20" t="s">
        <v>1009</v>
      </c>
      <c r="D531" s="22"/>
      <c r="E531" s="21"/>
      <c r="F531" s="24">
        <f>Source!AO267</f>
        <v>660.45</v>
      </c>
      <c r="G531" s="23" t="str">
        <f>Source!DG267</f>
        <v>)*1,15</v>
      </c>
      <c r="H531" s="21">
        <f>Source!AV267</f>
        <v>1</v>
      </c>
      <c r="I531" s="24">
        <f>ROUND((ROUND((Source!AF267*Source!AV267*Source!I267),2)),2)</f>
        <v>531.66</v>
      </c>
      <c r="J531" s="21">
        <f>IF(Source!BA267&lt;&gt; 0, Source!BA267, 1)</f>
        <v>29.39</v>
      </c>
      <c r="K531" s="24">
        <f>Source!S267</f>
        <v>15625.49</v>
      </c>
      <c r="W531">
        <f>I531</f>
        <v>531.66</v>
      </c>
    </row>
    <row r="532" spans="1:35" ht="14.25" x14ac:dyDescent="0.2">
      <c r="A532" s="20"/>
      <c r="B532" s="20"/>
      <c r="C532" s="20" t="s">
        <v>1016</v>
      </c>
      <c r="D532" s="22"/>
      <c r="E532" s="21"/>
      <c r="F532" s="24">
        <f>Source!AM267</f>
        <v>19.91</v>
      </c>
      <c r="G532" s="23" t="str">
        <f>Source!DE267</f>
        <v>)*1,25</v>
      </c>
      <c r="H532" s="21">
        <f>Source!AV267</f>
        <v>1</v>
      </c>
      <c r="I532" s="24">
        <f>(ROUND((ROUND((((Source!ET267*1.25))*Source!AV267*Source!I267),2)),2)+ROUND((ROUND(((Source!AE267-((Source!EU267*1.25)))*Source!AV267*Source!I267),2)),2))</f>
        <v>17.420000000000002</v>
      </c>
      <c r="J532" s="21">
        <f>IF(Source!BB267&lt;&gt; 0, Source!BB267, 1)</f>
        <v>11.28</v>
      </c>
      <c r="K532" s="24">
        <f>Source!Q267</f>
        <v>196.5</v>
      </c>
    </row>
    <row r="533" spans="1:35" ht="14.25" x14ac:dyDescent="0.2">
      <c r="A533" s="20"/>
      <c r="B533" s="20"/>
      <c r="C533" s="20" t="s">
        <v>1017</v>
      </c>
      <c r="D533" s="22"/>
      <c r="E533" s="21"/>
      <c r="F533" s="24">
        <f>Source!AN267</f>
        <v>2.4</v>
      </c>
      <c r="G533" s="23" t="str">
        <f>Source!DF267</f>
        <v>)*1,25</v>
      </c>
      <c r="H533" s="21">
        <f>Source!AV267</f>
        <v>1</v>
      </c>
      <c r="I533" s="32">
        <f>ROUND((ROUND((Source!AE267*Source!AV267*Source!I267),2)),2)</f>
        <v>2.1</v>
      </c>
      <c r="J533" s="21">
        <f>IF(Source!BS267&lt;&gt; 0, Source!BS267, 1)</f>
        <v>29.39</v>
      </c>
      <c r="K533" s="32">
        <f>Source!R267</f>
        <v>61.72</v>
      </c>
      <c r="W533">
        <f>I533</f>
        <v>2.1</v>
      </c>
    </row>
    <row r="534" spans="1:35" ht="14.25" x14ac:dyDescent="0.2">
      <c r="A534" s="20"/>
      <c r="B534" s="20"/>
      <c r="C534" s="20" t="s">
        <v>1019</v>
      </c>
      <c r="D534" s="22"/>
      <c r="E534" s="21"/>
      <c r="F534" s="24">
        <f>Source!AL267</f>
        <v>2766.32</v>
      </c>
      <c r="G534" s="23" t="str">
        <f>Source!DD267</f>
        <v/>
      </c>
      <c r="H534" s="21">
        <f>Source!AW267</f>
        <v>1</v>
      </c>
      <c r="I534" s="24">
        <f>ROUND((ROUND((Source!AC267*Source!AW267*Source!I267),2)),2)</f>
        <v>1936.42</v>
      </c>
      <c r="J534" s="21">
        <f>IF(Source!BC267&lt;&gt; 0, Source!BC267, 1)</f>
        <v>8.0500000000000007</v>
      </c>
      <c r="K534" s="24">
        <f>Source!P267</f>
        <v>15588.18</v>
      </c>
    </row>
    <row r="535" spans="1:35" ht="85.5" x14ac:dyDescent="0.2">
      <c r="A535" s="20" t="s">
        <v>533</v>
      </c>
      <c r="B535" s="20" t="str">
        <f>Source!F268</f>
        <v>1.7-2-265</v>
      </c>
      <c r="C535" s="20" t="s">
        <v>535</v>
      </c>
      <c r="D535" s="22" t="str">
        <f>Source!H268</f>
        <v>шт.</v>
      </c>
      <c r="E535" s="21">
        <f>Source!I268</f>
        <v>7</v>
      </c>
      <c r="F535" s="24">
        <f>Source!AK268</f>
        <v>4764.5600000000004</v>
      </c>
      <c r="G535" s="33" t="s">
        <v>3</v>
      </c>
      <c r="H535" s="21">
        <f>Source!AW268</f>
        <v>1</v>
      </c>
      <c r="I535" s="24">
        <f>ROUND((ROUND((Source!AC268*Source!AW268*Source!I268),2)),2)+(ROUND((ROUND(((Source!ET268)*Source!AV268*Source!I268),2)),2)+ROUND((ROUND(((Source!AE268-(Source!EU268))*Source!AV268*Source!I268),2)),2))+ROUND((ROUND((Source!AF268*Source!AV268*Source!I268),2)),2)</f>
        <v>33351.919999999998</v>
      </c>
      <c r="J535" s="21">
        <f>IF(Source!BC268&lt;&gt; 0, Source!BC268, 1)</f>
        <v>5.92</v>
      </c>
      <c r="K535" s="24">
        <f>Source!O268</f>
        <v>197443.37</v>
      </c>
      <c r="Q535">
        <f>ROUND((Source!DN268/100)*ROUND((ROUND((Source!AF268*Source!AV268*Source!I268),2)),2), 2)</f>
        <v>0</v>
      </c>
      <c r="R535">
        <f>Source!X268</f>
        <v>0</v>
      </c>
      <c r="S535">
        <f>ROUND((Source!DO268/100)*ROUND((ROUND((Source!AF268*Source!AV268*Source!I268),2)),2), 2)</f>
        <v>0</v>
      </c>
      <c r="T535">
        <f>Source!Y268</f>
        <v>0</v>
      </c>
      <c r="U535">
        <f>ROUND((175/100)*ROUND((ROUND((Source!AE268*Source!AV268*Source!I268),2)),2), 2)</f>
        <v>0</v>
      </c>
      <c r="V535">
        <f>ROUND((160/100)*ROUND(ROUND((ROUND((Source!AE268*Source!AV268*Source!I268),2)*Source!BS268),2), 2), 2)</f>
        <v>0</v>
      </c>
      <c r="X535">
        <f>IF(Source!BI268&lt;=1,I535, 0)</f>
        <v>33351.919999999998</v>
      </c>
      <c r="Y535">
        <f>IF(Source!BI268=2,I535, 0)</f>
        <v>0</v>
      </c>
      <c r="Z535">
        <f>IF(Source!BI268=3,I535, 0)</f>
        <v>0</v>
      </c>
      <c r="AA535">
        <f>IF(Source!BI268=4,I535, 0)</f>
        <v>0</v>
      </c>
      <c r="AI535">
        <v>3</v>
      </c>
    </row>
    <row r="536" spans="1:35" ht="14.25" x14ac:dyDescent="0.2">
      <c r="A536" s="20"/>
      <c r="B536" s="20"/>
      <c r="C536" s="20" t="s">
        <v>1010</v>
      </c>
      <c r="D536" s="22" t="s">
        <v>1011</v>
      </c>
      <c r="E536" s="21">
        <f>Source!DN267</f>
        <v>85</v>
      </c>
      <c r="F536" s="24"/>
      <c r="G536" s="23"/>
      <c r="H536" s="21"/>
      <c r="I536" s="24">
        <f>SUM(Q529:Q535)</f>
        <v>451.91</v>
      </c>
      <c r="J536" s="21">
        <f>Source!BZ267</f>
        <v>70</v>
      </c>
      <c r="K536" s="24">
        <f>SUM(R529:R535)</f>
        <v>10937.84</v>
      </c>
    </row>
    <row r="537" spans="1:35" ht="14.25" x14ac:dyDescent="0.2">
      <c r="A537" s="20"/>
      <c r="B537" s="20"/>
      <c r="C537" s="20" t="s">
        <v>1012</v>
      </c>
      <c r="D537" s="22" t="s">
        <v>1011</v>
      </c>
      <c r="E537" s="21">
        <f>Source!DO267</f>
        <v>70</v>
      </c>
      <c r="F537" s="24"/>
      <c r="G537" s="23"/>
      <c r="H537" s="21"/>
      <c r="I537" s="24">
        <f>SUM(S529:S536)</f>
        <v>372.16</v>
      </c>
      <c r="J537" s="21">
        <f>Source!CA267</f>
        <v>41</v>
      </c>
      <c r="K537" s="24">
        <f>SUM(T529:T536)</f>
        <v>6406.45</v>
      </c>
    </row>
    <row r="538" spans="1:35" ht="14.25" x14ac:dyDescent="0.2">
      <c r="A538" s="20"/>
      <c r="B538" s="20"/>
      <c r="C538" s="20" t="s">
        <v>1018</v>
      </c>
      <c r="D538" s="22" t="s">
        <v>1011</v>
      </c>
      <c r="E538" s="21">
        <f>175</f>
        <v>175</v>
      </c>
      <c r="F538" s="24"/>
      <c r="G538" s="23"/>
      <c r="H538" s="21"/>
      <c r="I538" s="24">
        <f>SUM(U529:U537)</f>
        <v>3.68</v>
      </c>
      <c r="J538" s="21">
        <f>160</f>
        <v>160</v>
      </c>
      <c r="K538" s="24">
        <f>SUM(V529:V537)</f>
        <v>98.75</v>
      </c>
    </row>
    <row r="539" spans="1:35" ht="14.25" x14ac:dyDescent="0.2">
      <c r="A539" s="26"/>
      <c r="B539" s="26"/>
      <c r="C539" s="26" t="s">
        <v>1013</v>
      </c>
      <c r="D539" s="27" t="s">
        <v>1014</v>
      </c>
      <c r="E539" s="28">
        <f>Source!AQ267</f>
        <v>56.18</v>
      </c>
      <c r="F539" s="29"/>
      <c r="G539" s="30" t="str">
        <f>Source!DI267</f>
        <v>)*1,15</v>
      </c>
      <c r="H539" s="28">
        <f>Source!AV267</f>
        <v>1</v>
      </c>
      <c r="I539" s="29">
        <f>Source!U267</f>
        <v>45.224899999999998</v>
      </c>
      <c r="J539" s="28"/>
      <c r="K539" s="29"/>
      <c r="AB539" s="25">
        <f>I539</f>
        <v>45.224899999999998</v>
      </c>
    </row>
    <row r="540" spans="1:35" ht="15" x14ac:dyDescent="0.25">
      <c r="C540" s="13" t="s">
        <v>1015</v>
      </c>
      <c r="H540" s="50">
        <f>I531+I532+I534+I536+I537+I538+SUM(I535:I535)</f>
        <v>36665.17</v>
      </c>
      <c r="I540" s="50"/>
      <c r="J540" s="50">
        <f>K531+K532+K534+K536+K537+K538+SUM(K535:K535)</f>
        <v>246296.58</v>
      </c>
      <c r="K540" s="50"/>
      <c r="O540" s="25">
        <f>I531+I532+I534+I536+I537+I538+SUM(I535:I535)</f>
        <v>36665.17</v>
      </c>
      <c r="P540" s="25">
        <f>K531+K532+K534+K536+K537+K538+SUM(K535:K535)</f>
        <v>246296.58</v>
      </c>
      <c r="X540">
        <f>IF(Source!BI267&lt;=1,I531+I532+I534+I536+I537+I538-0, 0)</f>
        <v>3313.2499999999995</v>
      </c>
      <c r="Y540">
        <f>IF(Source!BI267=2,I531+I532+I534+I536+I537+I538-0, 0)</f>
        <v>0</v>
      </c>
      <c r="Z540">
        <f>IF(Source!BI267=3,I531+I532+I534+I536+I537+I538-0, 0)</f>
        <v>0</v>
      </c>
      <c r="AA540">
        <f>IF(Source!BI267=4,I531+I532+I534+I536+I537+I538,0)</f>
        <v>0</v>
      </c>
    </row>
    <row r="542" spans="1:35" ht="28.5" x14ac:dyDescent="0.2">
      <c r="A542" s="20">
        <v>40</v>
      </c>
      <c r="B542" s="20" t="str">
        <f>Source!F269</f>
        <v>3.10-82-1</v>
      </c>
      <c r="C542" s="20" t="s">
        <v>540</v>
      </c>
      <c r="D542" s="22" t="str">
        <f>Source!H269</f>
        <v>1  ШТ.</v>
      </c>
      <c r="E542" s="21">
        <f>Source!I269</f>
        <v>7</v>
      </c>
      <c r="F542" s="24"/>
      <c r="G542" s="23"/>
      <c r="H542" s="21"/>
      <c r="I542" s="24"/>
      <c r="J542" s="21"/>
      <c r="K542" s="24"/>
      <c r="Q542">
        <f>ROUND((Source!DN269/100)*ROUND((ROUND((Source!AF269*Source!AV269*Source!I269),2)),2), 2)</f>
        <v>109</v>
      </c>
      <c r="R542">
        <f>Source!X269</f>
        <v>2640.25</v>
      </c>
      <c r="S542">
        <f>ROUND((Source!DO269/100)*ROUND((ROUND((Source!AF269*Source!AV269*Source!I269),2)),2), 2)</f>
        <v>83.85</v>
      </c>
      <c r="T542">
        <f>Source!Y269</f>
        <v>1443.34</v>
      </c>
      <c r="U542">
        <f>ROUND((175/100)*ROUND((ROUND((Source!AE269*Source!AV269*Source!I269),2)),2), 2)</f>
        <v>0.32</v>
      </c>
      <c r="V542">
        <f>ROUND((160/100)*ROUND(ROUND((ROUND((Source!AE269*Source!AV269*Source!I269),2)*Source!BS269),2), 2), 2)</f>
        <v>8.4600000000000009</v>
      </c>
      <c r="AI542">
        <v>0</v>
      </c>
    </row>
    <row r="543" spans="1:35" ht="14.25" x14ac:dyDescent="0.2">
      <c r="A543" s="20"/>
      <c r="B543" s="20"/>
      <c r="C543" s="20" t="s">
        <v>1009</v>
      </c>
      <c r="D543" s="22"/>
      <c r="E543" s="21"/>
      <c r="F543" s="24">
        <f>Source!AO269</f>
        <v>14.88</v>
      </c>
      <c r="G543" s="23" t="str">
        <f>Source!DG269</f>
        <v>)*1,15</v>
      </c>
      <c r="H543" s="21">
        <f>Source!AV269</f>
        <v>1</v>
      </c>
      <c r="I543" s="24">
        <f>ROUND((ROUND((Source!AF269*Source!AV269*Source!I269),2)),2)</f>
        <v>119.78</v>
      </c>
      <c r="J543" s="21">
        <f>IF(Source!BA269&lt;&gt; 0, Source!BA269, 1)</f>
        <v>29.39</v>
      </c>
      <c r="K543" s="24">
        <f>Source!S269</f>
        <v>3520.33</v>
      </c>
      <c r="W543">
        <f>I543</f>
        <v>119.78</v>
      </c>
    </row>
    <row r="544" spans="1:35" ht="14.25" x14ac:dyDescent="0.2">
      <c r="A544" s="20"/>
      <c r="B544" s="20"/>
      <c r="C544" s="20" t="s">
        <v>1016</v>
      </c>
      <c r="D544" s="22"/>
      <c r="E544" s="21"/>
      <c r="F544" s="24">
        <f>Source!AM269</f>
        <v>2.02</v>
      </c>
      <c r="G544" s="23" t="str">
        <f>Source!DE269</f>
        <v>)*1,25</v>
      </c>
      <c r="H544" s="21">
        <f>Source!AV269</f>
        <v>1</v>
      </c>
      <c r="I544" s="24">
        <f>(ROUND((ROUND((((Source!ET269*1.25))*Source!AV269*Source!I269),2)),2)+ROUND((ROUND(((Source!AE269-((Source!EU269*1.25)))*Source!AV269*Source!I269),2)),2))</f>
        <v>17.68</v>
      </c>
      <c r="J544" s="21">
        <f>IF(Source!BB269&lt;&gt; 0, Source!BB269, 1)</f>
        <v>10.89</v>
      </c>
      <c r="K544" s="24">
        <f>Source!Q269</f>
        <v>192.54</v>
      </c>
    </row>
    <row r="545" spans="1:35" ht="14.25" x14ac:dyDescent="0.2">
      <c r="A545" s="20"/>
      <c r="B545" s="20"/>
      <c r="C545" s="20" t="s">
        <v>1017</v>
      </c>
      <c r="D545" s="22"/>
      <c r="E545" s="21"/>
      <c r="F545" s="24">
        <f>Source!AN269</f>
        <v>0.02</v>
      </c>
      <c r="G545" s="23" t="str">
        <f>Source!DF269</f>
        <v>)*1,25</v>
      </c>
      <c r="H545" s="21">
        <f>Source!AV269</f>
        <v>1</v>
      </c>
      <c r="I545" s="32">
        <f>ROUND((ROUND((Source!AE269*Source!AV269*Source!I269),2)),2)</f>
        <v>0.18</v>
      </c>
      <c r="J545" s="21">
        <f>IF(Source!BS269&lt;&gt; 0, Source!BS269, 1)</f>
        <v>29.39</v>
      </c>
      <c r="K545" s="32">
        <f>Source!R269</f>
        <v>5.29</v>
      </c>
      <c r="W545">
        <f>I545</f>
        <v>0.18</v>
      </c>
    </row>
    <row r="546" spans="1:35" ht="14.25" x14ac:dyDescent="0.2">
      <c r="A546" s="20"/>
      <c r="B546" s="20"/>
      <c r="C546" s="20" t="s">
        <v>1019</v>
      </c>
      <c r="D546" s="22"/>
      <c r="E546" s="21"/>
      <c r="F546" s="24">
        <f>Source!AL269</f>
        <v>0.41</v>
      </c>
      <c r="G546" s="23" t="str">
        <f>Source!DD269</f>
        <v/>
      </c>
      <c r="H546" s="21">
        <f>Source!AW269</f>
        <v>1</v>
      </c>
      <c r="I546" s="24">
        <f>ROUND((ROUND((Source!AC269*Source!AW269*Source!I269),2)),2)</f>
        <v>2.87</v>
      </c>
      <c r="J546" s="21">
        <f>IF(Source!BC269&lt;&gt; 0, Source!BC269, 1)</f>
        <v>5.76</v>
      </c>
      <c r="K546" s="24">
        <f>Source!P269</f>
        <v>16.53</v>
      </c>
    </row>
    <row r="547" spans="1:35" ht="28.5" x14ac:dyDescent="0.2">
      <c r="A547" s="20" t="s">
        <v>545</v>
      </c>
      <c r="B547" s="20" t="str">
        <f>Source!F270</f>
        <v>1.8-1-73</v>
      </c>
      <c r="C547" s="20" t="s">
        <v>547</v>
      </c>
      <c r="D547" s="22" t="str">
        <f>Source!H270</f>
        <v>шт.</v>
      </c>
      <c r="E547" s="21">
        <f>Source!I270</f>
        <v>7</v>
      </c>
      <c r="F547" s="24">
        <f>Source!AK270</f>
        <v>267.93</v>
      </c>
      <c r="G547" s="33" t="s">
        <v>3</v>
      </c>
      <c r="H547" s="21">
        <f>Source!AW270</f>
        <v>1</v>
      </c>
      <c r="I547" s="24">
        <f>ROUND((ROUND((Source!AC270*Source!AW270*Source!I270),2)),2)+(ROUND((ROUND(((Source!ET270)*Source!AV270*Source!I270),2)),2)+ROUND((ROUND(((Source!AE270-(Source!EU270))*Source!AV270*Source!I270),2)),2))+ROUND((ROUND((Source!AF270*Source!AV270*Source!I270),2)),2)</f>
        <v>1875.51</v>
      </c>
      <c r="J547" s="21">
        <f>IF(Source!BC270&lt;&gt; 0, Source!BC270, 1)</f>
        <v>6.62</v>
      </c>
      <c r="K547" s="24">
        <f>Source!O270</f>
        <v>12415.88</v>
      </c>
      <c r="Q547">
        <f>ROUND((Source!DN270/100)*ROUND((ROUND((Source!AF270*Source!AV270*Source!I270),2)),2), 2)</f>
        <v>0</v>
      </c>
      <c r="R547">
        <f>Source!X270</f>
        <v>0</v>
      </c>
      <c r="S547">
        <f>ROUND((Source!DO270/100)*ROUND((ROUND((Source!AF270*Source!AV270*Source!I270),2)),2), 2)</f>
        <v>0</v>
      </c>
      <c r="T547">
        <f>Source!Y270</f>
        <v>0</v>
      </c>
      <c r="U547">
        <f>ROUND((175/100)*ROUND((ROUND((Source!AE270*Source!AV270*Source!I270),2)),2), 2)</f>
        <v>0</v>
      </c>
      <c r="V547">
        <f>ROUND((160/100)*ROUND(ROUND((ROUND((Source!AE270*Source!AV270*Source!I270),2)*Source!BS270),2), 2), 2)</f>
        <v>0</v>
      </c>
      <c r="X547">
        <f>IF(Source!BI270&lt;=1,I547, 0)</f>
        <v>1875.51</v>
      </c>
      <c r="Y547">
        <f>IF(Source!BI270=2,I547, 0)</f>
        <v>0</v>
      </c>
      <c r="Z547">
        <f>IF(Source!BI270=3,I547, 0)</f>
        <v>0</v>
      </c>
      <c r="AA547">
        <f>IF(Source!BI270=4,I547, 0)</f>
        <v>0</v>
      </c>
      <c r="AI547">
        <v>3</v>
      </c>
    </row>
    <row r="548" spans="1:35" ht="14.25" x14ac:dyDescent="0.2">
      <c r="A548" s="20"/>
      <c r="B548" s="20"/>
      <c r="C548" s="20" t="s">
        <v>1010</v>
      </c>
      <c r="D548" s="22" t="s">
        <v>1011</v>
      </c>
      <c r="E548" s="21">
        <f>Source!DN269</f>
        <v>91</v>
      </c>
      <c r="F548" s="24"/>
      <c r="G548" s="23"/>
      <c r="H548" s="21"/>
      <c r="I548" s="24">
        <f>SUM(Q542:Q547)</f>
        <v>109</v>
      </c>
      <c r="J548" s="21">
        <f>Source!BZ269</f>
        <v>75</v>
      </c>
      <c r="K548" s="24">
        <f>SUM(R542:R547)</f>
        <v>2640.25</v>
      </c>
    </row>
    <row r="549" spans="1:35" ht="14.25" x14ac:dyDescent="0.2">
      <c r="A549" s="20"/>
      <c r="B549" s="20"/>
      <c r="C549" s="20" t="s">
        <v>1012</v>
      </c>
      <c r="D549" s="22" t="s">
        <v>1011</v>
      </c>
      <c r="E549" s="21">
        <f>Source!DO269</f>
        <v>70</v>
      </c>
      <c r="F549" s="24"/>
      <c r="G549" s="23"/>
      <c r="H549" s="21"/>
      <c r="I549" s="24">
        <f>SUM(S542:S548)</f>
        <v>83.85</v>
      </c>
      <c r="J549" s="21">
        <f>Source!CA269</f>
        <v>41</v>
      </c>
      <c r="K549" s="24">
        <f>SUM(T542:T548)</f>
        <v>1443.34</v>
      </c>
    </row>
    <row r="550" spans="1:35" ht="14.25" x14ac:dyDescent="0.2">
      <c r="A550" s="20"/>
      <c r="B550" s="20"/>
      <c r="C550" s="20" t="s">
        <v>1018</v>
      </c>
      <c r="D550" s="22" t="s">
        <v>1011</v>
      </c>
      <c r="E550" s="21">
        <f>175</f>
        <v>175</v>
      </c>
      <c r="F550" s="24"/>
      <c r="G550" s="23"/>
      <c r="H550" s="21"/>
      <c r="I550" s="24">
        <f>SUM(U542:U549)</f>
        <v>0.32</v>
      </c>
      <c r="J550" s="21">
        <f>160</f>
        <v>160</v>
      </c>
      <c r="K550" s="24">
        <f>SUM(V542:V549)</f>
        <v>8.4600000000000009</v>
      </c>
    </row>
    <row r="551" spans="1:35" ht="14.25" x14ac:dyDescent="0.2">
      <c r="A551" s="26"/>
      <c r="B551" s="26"/>
      <c r="C551" s="26" t="s">
        <v>1013</v>
      </c>
      <c r="D551" s="27" t="s">
        <v>1014</v>
      </c>
      <c r="E551" s="28">
        <f>Source!AQ269</f>
        <v>1.1100000000000001</v>
      </c>
      <c r="F551" s="29"/>
      <c r="G551" s="30" t="str">
        <f>Source!DI269</f>
        <v>)*1,15</v>
      </c>
      <c r="H551" s="28">
        <f>Source!AV269</f>
        <v>1</v>
      </c>
      <c r="I551" s="29">
        <f>Source!U269</f>
        <v>8.9354999999999993</v>
      </c>
      <c r="J551" s="28"/>
      <c r="K551" s="29"/>
      <c r="AB551" s="25">
        <f>I551</f>
        <v>8.9354999999999993</v>
      </c>
    </row>
    <row r="552" spans="1:35" ht="15" x14ac:dyDescent="0.25">
      <c r="C552" s="13" t="s">
        <v>1015</v>
      </c>
      <c r="H552" s="50">
        <f>I543+I544+I546+I548+I549+I550+SUM(I547:I547)</f>
        <v>2209.0100000000002</v>
      </c>
      <c r="I552" s="50"/>
      <c r="J552" s="50">
        <f>K543+K544+K546+K548+K549+K550+SUM(K547:K547)</f>
        <v>20237.329999999998</v>
      </c>
      <c r="K552" s="50"/>
      <c r="O552" s="25">
        <f>I543+I544+I546+I548+I549+I550+SUM(I547:I547)</f>
        <v>2209.0100000000002</v>
      </c>
      <c r="P552" s="25">
        <f>K543+K544+K546+K548+K549+K550+SUM(K547:K547)</f>
        <v>20237.329999999998</v>
      </c>
      <c r="X552">
        <f>IF(Source!BI269&lt;=1,I543+I544+I546+I548+I549+I550-0, 0)</f>
        <v>333.5</v>
      </c>
      <c r="Y552">
        <f>IF(Source!BI269=2,I543+I544+I546+I548+I549+I550-0, 0)</f>
        <v>0</v>
      </c>
      <c r="Z552">
        <f>IF(Source!BI269=3,I543+I544+I546+I548+I549+I550-0, 0)</f>
        <v>0</v>
      </c>
      <c r="AA552">
        <f>IF(Source!BI269=4,I543+I544+I546+I548+I549+I550,0)</f>
        <v>0</v>
      </c>
    </row>
    <row r="554" spans="1:35" ht="57" x14ac:dyDescent="0.2">
      <c r="A554" s="20">
        <v>41</v>
      </c>
      <c r="B554" s="20" t="str">
        <f>Source!F271</f>
        <v>6.61-7-1</v>
      </c>
      <c r="C554" s="20" t="s">
        <v>551</v>
      </c>
      <c r="D554" s="22" t="str">
        <f>Source!H271</f>
        <v>100 м2</v>
      </c>
      <c r="E554" s="21">
        <f>Source!I271</f>
        <v>0.05</v>
      </c>
      <c r="F554" s="24"/>
      <c r="G554" s="23"/>
      <c r="H554" s="21"/>
      <c r="I554" s="24"/>
      <c r="J554" s="21"/>
      <c r="K554" s="24"/>
      <c r="Q554">
        <f>ROUND((Source!DN271/100)*ROUND((ROUND((Source!AF271*Source!AV271*Source!I271),2)),2), 2)</f>
        <v>226.5</v>
      </c>
      <c r="R554">
        <f>Source!X271</f>
        <v>5525.18</v>
      </c>
      <c r="S554">
        <f>ROUND((Source!DO271/100)*ROUND((ROUND((Source!AF271*Source!AV271*Source!I271),2)),2), 2)</f>
        <v>144.96</v>
      </c>
      <c r="T554">
        <f>Source!Y271</f>
        <v>2729.3</v>
      </c>
      <c r="U554">
        <f>ROUND((175/100)*ROUND((ROUND((Source!AE271*Source!AV271*Source!I271),2)),2), 2)</f>
        <v>0</v>
      </c>
      <c r="V554">
        <f>ROUND((160/100)*ROUND(ROUND((ROUND((Source!AE271*Source!AV271*Source!I271),2)*Source!BS271),2), 2), 2)</f>
        <v>0</v>
      </c>
      <c r="AI554">
        <v>0</v>
      </c>
    </row>
    <row r="555" spans="1:35" x14ac:dyDescent="0.2">
      <c r="C555" s="31" t="str">
        <f>"Объем: "&amp;Source!I271&amp;"=5/"&amp;"100"</f>
        <v>Объем: 0,05=5/100</v>
      </c>
    </row>
    <row r="556" spans="1:35" ht="14.25" x14ac:dyDescent="0.2">
      <c r="A556" s="20"/>
      <c r="B556" s="20"/>
      <c r="C556" s="20" t="s">
        <v>1009</v>
      </c>
      <c r="D556" s="22"/>
      <c r="E556" s="21"/>
      <c r="F556" s="24">
        <f>Source!AO271</f>
        <v>4529.95</v>
      </c>
      <c r="G556" s="23" t="str">
        <f>Source!DG271</f>
        <v/>
      </c>
      <c r="H556" s="21">
        <f>Source!AV271</f>
        <v>1</v>
      </c>
      <c r="I556" s="24">
        <f>ROUND((ROUND((Source!AF271*Source!AV271*Source!I271),2)),2)</f>
        <v>226.5</v>
      </c>
      <c r="J556" s="21">
        <f>IF(Source!BA271&lt;&gt; 0, Source!BA271, 1)</f>
        <v>29.39</v>
      </c>
      <c r="K556" s="24">
        <f>Source!S271</f>
        <v>6656.84</v>
      </c>
      <c r="W556">
        <f>I556</f>
        <v>226.5</v>
      </c>
    </row>
    <row r="557" spans="1:35" ht="28.5" x14ac:dyDescent="0.2">
      <c r="A557" s="20" t="s">
        <v>555</v>
      </c>
      <c r="B557" s="20" t="str">
        <f>Source!F272</f>
        <v>1.3-2-13</v>
      </c>
      <c r="C557" s="20" t="s">
        <v>79</v>
      </c>
      <c r="D557" s="22" t="str">
        <f>Source!H272</f>
        <v>м3</v>
      </c>
      <c r="E557" s="21">
        <f>Source!I272</f>
        <v>0.21999999999999997</v>
      </c>
      <c r="F557" s="24">
        <f>Source!AK272</f>
        <v>481.69</v>
      </c>
      <c r="G557" s="33" t="s">
        <v>3</v>
      </c>
      <c r="H557" s="21">
        <f>Source!AW272</f>
        <v>1</v>
      </c>
      <c r="I557" s="24">
        <f>ROUND((ROUND((Source!AC272*Source!AW272*Source!I272),2)),2)+(ROUND((ROUND(((Source!ET272)*Source!AV272*Source!I272),2)),2)+ROUND((ROUND(((Source!AE272-(Source!EU272))*Source!AV272*Source!I272),2)),2))+ROUND((ROUND((Source!AF272*Source!AV272*Source!I272),2)),2)</f>
        <v>105.97</v>
      </c>
      <c r="J557" s="21">
        <f>IF(Source!BC272&lt;&gt; 0, Source!BC272, 1)</f>
        <v>8.6199999999999992</v>
      </c>
      <c r="K557" s="24">
        <f>Source!O272</f>
        <v>913.46</v>
      </c>
      <c r="Q557">
        <f>ROUND((Source!DN272/100)*ROUND((ROUND((Source!AF272*Source!AV272*Source!I272),2)),2), 2)</f>
        <v>0</v>
      </c>
      <c r="R557">
        <f>Source!X272</f>
        <v>0</v>
      </c>
      <c r="S557">
        <f>ROUND((Source!DO272/100)*ROUND((ROUND((Source!AF272*Source!AV272*Source!I272),2)),2), 2)</f>
        <v>0</v>
      </c>
      <c r="T557">
        <f>Source!Y272</f>
        <v>0</v>
      </c>
      <c r="U557">
        <f>ROUND((175/100)*ROUND((ROUND((Source!AE272*Source!AV272*Source!I272),2)),2), 2)</f>
        <v>0</v>
      </c>
      <c r="V557">
        <f>ROUND((160/100)*ROUND(ROUND((ROUND((Source!AE272*Source!AV272*Source!I272),2)*Source!BS272),2), 2), 2)</f>
        <v>0</v>
      </c>
      <c r="X557">
        <f>IF(Source!BI272&lt;=1,I557, 0)</f>
        <v>105.97</v>
      </c>
      <c r="Y557">
        <f>IF(Source!BI272=2,I557, 0)</f>
        <v>0</v>
      </c>
      <c r="Z557">
        <f>IF(Source!BI272=3,I557, 0)</f>
        <v>0</v>
      </c>
      <c r="AA557">
        <f>IF(Source!BI272=4,I557, 0)</f>
        <v>0</v>
      </c>
      <c r="AI557">
        <v>3</v>
      </c>
    </row>
    <row r="558" spans="1:35" ht="14.25" x14ac:dyDescent="0.2">
      <c r="A558" s="20"/>
      <c r="B558" s="20"/>
      <c r="C558" s="20" t="s">
        <v>1010</v>
      </c>
      <c r="D558" s="22" t="s">
        <v>1011</v>
      </c>
      <c r="E558" s="21">
        <f>Source!DN271</f>
        <v>100</v>
      </c>
      <c r="F558" s="24"/>
      <c r="G558" s="23"/>
      <c r="H558" s="21"/>
      <c r="I558" s="24">
        <f>SUM(Q554:Q557)</f>
        <v>226.5</v>
      </c>
      <c r="J558" s="21">
        <f>Source!BZ271</f>
        <v>83</v>
      </c>
      <c r="K558" s="24">
        <f>SUM(R554:R557)</f>
        <v>5525.18</v>
      </c>
    </row>
    <row r="559" spans="1:35" ht="14.25" x14ac:dyDescent="0.2">
      <c r="A559" s="20"/>
      <c r="B559" s="20"/>
      <c r="C559" s="20" t="s">
        <v>1012</v>
      </c>
      <c r="D559" s="22" t="s">
        <v>1011</v>
      </c>
      <c r="E559" s="21">
        <f>Source!DO271</f>
        <v>64</v>
      </c>
      <c r="F559" s="24"/>
      <c r="G559" s="23"/>
      <c r="H559" s="21"/>
      <c r="I559" s="24">
        <f>SUM(S554:S558)</f>
        <v>144.96</v>
      </c>
      <c r="J559" s="21">
        <f>Source!CA271</f>
        <v>41</v>
      </c>
      <c r="K559" s="24">
        <f>SUM(T554:T558)</f>
        <v>2729.3</v>
      </c>
    </row>
    <row r="560" spans="1:35" ht="14.25" x14ac:dyDescent="0.2">
      <c r="A560" s="26"/>
      <c r="B560" s="26"/>
      <c r="C560" s="26" t="s">
        <v>1013</v>
      </c>
      <c r="D560" s="27" t="s">
        <v>1014</v>
      </c>
      <c r="E560" s="28">
        <f>Source!AQ271</f>
        <v>385.2</v>
      </c>
      <c r="F560" s="29"/>
      <c r="G560" s="30" t="str">
        <f>Source!DI271</f>
        <v/>
      </c>
      <c r="H560" s="28">
        <f>Source!AV271</f>
        <v>1</v>
      </c>
      <c r="I560" s="29">
        <f>Source!U271</f>
        <v>19.260000000000002</v>
      </c>
      <c r="J560" s="28"/>
      <c r="K560" s="29"/>
      <c r="AB560" s="25">
        <f>I560</f>
        <v>19.260000000000002</v>
      </c>
    </row>
    <row r="561" spans="1:35" ht="15" x14ac:dyDescent="0.25">
      <c r="C561" s="13" t="s">
        <v>1015</v>
      </c>
      <c r="H561" s="50">
        <f>I556+I558+I559+SUM(I557:I557)</f>
        <v>703.93000000000006</v>
      </c>
      <c r="I561" s="50"/>
      <c r="J561" s="50">
        <f>K556+K558+K559+SUM(K557:K557)</f>
        <v>15824.779999999999</v>
      </c>
      <c r="K561" s="50"/>
      <c r="O561" s="25">
        <f>I556+I558+I559+SUM(I557:I557)</f>
        <v>703.93000000000006</v>
      </c>
      <c r="P561" s="25">
        <f>K556+K558+K559+SUM(K557:K557)</f>
        <v>15824.779999999999</v>
      </c>
      <c r="X561">
        <f>IF(Source!BI271&lt;=1,I556+I558+I559-0, 0)</f>
        <v>597.96</v>
      </c>
      <c r="Y561">
        <f>IF(Source!BI271=2,I556+I558+I559-0, 0)</f>
        <v>0</v>
      </c>
      <c r="Z561">
        <f>IF(Source!BI271=3,I556+I558+I559-0, 0)</f>
        <v>0</v>
      </c>
      <c r="AA561">
        <f>IF(Source!BI271=4,I556+I558+I559,0)</f>
        <v>0</v>
      </c>
    </row>
    <row r="563" spans="1:35" ht="42.75" x14ac:dyDescent="0.2">
      <c r="A563" s="20">
        <v>42</v>
      </c>
      <c r="B563" s="20" t="str">
        <f>Source!F273</f>
        <v>3.15-176-2</v>
      </c>
      <c r="C563" s="20" t="s">
        <v>293</v>
      </c>
      <c r="D563" s="22" t="str">
        <f>Source!H273</f>
        <v>100 м2</v>
      </c>
      <c r="E563" s="21">
        <f>Source!I273</f>
        <v>0.05</v>
      </c>
      <c r="F563" s="24"/>
      <c r="G563" s="23"/>
      <c r="H563" s="21"/>
      <c r="I563" s="24"/>
      <c r="J563" s="21"/>
      <c r="K563" s="24"/>
      <c r="Q563">
        <f>ROUND((Source!DN273/100)*ROUND((ROUND((Source!AF273*Source!AV273*Source!I273),2)),2), 2)</f>
        <v>28.73</v>
      </c>
      <c r="R563">
        <f>Source!X273</f>
        <v>700.83</v>
      </c>
      <c r="S563">
        <f>ROUND((Source!DO273/100)*ROUND((ROUND((Source!AF273*Source!AV273*Source!I273),2)),2), 2)</f>
        <v>18.39</v>
      </c>
      <c r="T563">
        <f>Source!Y273</f>
        <v>346.19</v>
      </c>
      <c r="U563">
        <f>ROUND((175/100)*ROUND((ROUND((Source!AE273*Source!AV273*Source!I273),2)),2), 2)</f>
        <v>0.21</v>
      </c>
      <c r="V563">
        <f>ROUND((160/100)*ROUND(ROUND((ROUND((Source!AE273*Source!AV273*Source!I273),2)*Source!BS273),2), 2), 2)</f>
        <v>5.65</v>
      </c>
      <c r="AI563">
        <v>0</v>
      </c>
    </row>
    <row r="564" spans="1:35" x14ac:dyDescent="0.2">
      <c r="C564" s="31" t="str">
        <f>"Объем: "&amp;Source!I273&amp;"=5/"&amp;"100"</f>
        <v>Объем: 0,05=5/100</v>
      </c>
    </row>
    <row r="565" spans="1:35" ht="14.25" x14ac:dyDescent="0.2">
      <c r="A565" s="20"/>
      <c r="B565" s="20"/>
      <c r="C565" s="20" t="s">
        <v>1009</v>
      </c>
      <c r="D565" s="22"/>
      <c r="E565" s="21"/>
      <c r="F565" s="24">
        <f>Source!AO273</f>
        <v>499.63</v>
      </c>
      <c r="G565" s="23" t="str">
        <f>Source!DG273</f>
        <v>)*1,15</v>
      </c>
      <c r="H565" s="21">
        <f>Source!AV273</f>
        <v>1</v>
      </c>
      <c r="I565" s="24">
        <f>ROUND((ROUND((Source!AF273*Source!AV273*Source!I273),2)),2)</f>
        <v>28.73</v>
      </c>
      <c r="J565" s="21">
        <f>IF(Source!BA273&lt;&gt; 0, Source!BA273, 1)</f>
        <v>29.39</v>
      </c>
      <c r="K565" s="24">
        <f>Source!S273</f>
        <v>844.37</v>
      </c>
      <c r="W565">
        <f>I565</f>
        <v>28.73</v>
      </c>
    </row>
    <row r="566" spans="1:35" ht="14.25" x14ac:dyDescent="0.2">
      <c r="A566" s="20"/>
      <c r="B566" s="20"/>
      <c r="C566" s="20" t="s">
        <v>1016</v>
      </c>
      <c r="D566" s="22"/>
      <c r="E566" s="21"/>
      <c r="F566" s="24">
        <f>Source!AM273</f>
        <v>12.47</v>
      </c>
      <c r="G566" s="23" t="str">
        <f>Source!DE273</f>
        <v>)*1,25</v>
      </c>
      <c r="H566" s="21">
        <f>Source!AV273</f>
        <v>1</v>
      </c>
      <c r="I566" s="24">
        <f>(ROUND((ROUND((((Source!ET273*1.25))*Source!AV273*Source!I273),2)),2)+ROUND((ROUND(((Source!AE273-((Source!EU273*1.25)))*Source!AV273*Source!I273),2)),2))</f>
        <v>0.78</v>
      </c>
      <c r="J566" s="21">
        <f>IF(Source!BB273&lt;&gt; 0, Source!BB273, 1)</f>
        <v>11.98</v>
      </c>
      <c r="K566" s="24">
        <f>Source!Q273</f>
        <v>9.34</v>
      </c>
    </row>
    <row r="567" spans="1:35" ht="14.25" x14ac:dyDescent="0.2">
      <c r="A567" s="20"/>
      <c r="B567" s="20"/>
      <c r="C567" s="20" t="s">
        <v>1017</v>
      </c>
      <c r="D567" s="22"/>
      <c r="E567" s="21"/>
      <c r="F567" s="24">
        <f>Source!AN273</f>
        <v>1.89</v>
      </c>
      <c r="G567" s="23" t="str">
        <f>Source!DF273</f>
        <v>)*1,25</v>
      </c>
      <c r="H567" s="21">
        <f>Source!AV273</f>
        <v>1</v>
      </c>
      <c r="I567" s="32">
        <f>ROUND((ROUND((Source!AE273*Source!AV273*Source!I273),2)),2)</f>
        <v>0.12</v>
      </c>
      <c r="J567" s="21">
        <f>IF(Source!BS273&lt;&gt; 0, Source!BS273, 1)</f>
        <v>29.39</v>
      </c>
      <c r="K567" s="32">
        <f>Source!R273</f>
        <v>3.53</v>
      </c>
      <c r="W567">
        <f>I567</f>
        <v>0.12</v>
      </c>
    </row>
    <row r="568" spans="1:35" ht="14.25" x14ac:dyDescent="0.2">
      <c r="A568" s="20"/>
      <c r="B568" s="20"/>
      <c r="C568" s="20" t="s">
        <v>1019</v>
      </c>
      <c r="D568" s="22"/>
      <c r="E568" s="21"/>
      <c r="F568" s="24">
        <f>Source!AL273</f>
        <v>799.49</v>
      </c>
      <c r="G568" s="23" t="str">
        <f>Source!DD273</f>
        <v/>
      </c>
      <c r="H568" s="21">
        <f>Source!AW273</f>
        <v>1</v>
      </c>
      <c r="I568" s="24">
        <f>ROUND((ROUND((Source!AC273*Source!AW273*Source!I273),2)),2)</f>
        <v>39.97</v>
      </c>
      <c r="J568" s="21">
        <f>IF(Source!BC273&lt;&gt; 0, Source!BC273, 1)</f>
        <v>3.05</v>
      </c>
      <c r="K568" s="24">
        <f>Source!P273</f>
        <v>121.91</v>
      </c>
    </row>
    <row r="569" spans="1:35" ht="57" x14ac:dyDescent="0.2">
      <c r="A569" s="20" t="s">
        <v>557</v>
      </c>
      <c r="B569" s="20" t="str">
        <f>Source!F274</f>
        <v>1.1-1-2854</v>
      </c>
      <c r="C569" s="20" t="s">
        <v>57</v>
      </c>
      <c r="D569" s="22" t="str">
        <f>Source!H274</f>
        <v>кг</v>
      </c>
      <c r="E569" s="21">
        <f>Source!I274</f>
        <v>1</v>
      </c>
      <c r="F569" s="24">
        <f>Source!AK274</f>
        <v>28.98</v>
      </c>
      <c r="G569" s="33" t="s">
        <v>3</v>
      </c>
      <c r="H569" s="21">
        <f>Source!AW274</f>
        <v>1</v>
      </c>
      <c r="I569" s="24">
        <f>ROUND((ROUND((Source!AC274*Source!AW274*Source!I274),2)),2)+(ROUND((ROUND(((Source!ET274)*Source!AV274*Source!I274),2)),2)+ROUND((ROUND(((Source!AE274-(Source!EU274))*Source!AV274*Source!I274),2)),2))+ROUND((ROUND((Source!AF274*Source!AV274*Source!I274),2)),2)</f>
        <v>28.98</v>
      </c>
      <c r="J569" s="21">
        <f>IF(Source!BC274&lt;&gt; 0, Source!BC274, 1)</f>
        <v>3.58</v>
      </c>
      <c r="K569" s="24">
        <f>Source!O274</f>
        <v>103.75</v>
      </c>
      <c r="Q569">
        <f>ROUND((Source!DN274/100)*ROUND((ROUND((Source!AF274*Source!AV274*Source!I274),2)),2), 2)</f>
        <v>0</v>
      </c>
      <c r="R569">
        <f>Source!X274</f>
        <v>0</v>
      </c>
      <c r="S569">
        <f>ROUND((Source!DO274/100)*ROUND((ROUND((Source!AF274*Source!AV274*Source!I274),2)),2), 2)</f>
        <v>0</v>
      </c>
      <c r="T569">
        <f>Source!Y274</f>
        <v>0</v>
      </c>
      <c r="U569">
        <f>ROUND((175/100)*ROUND((ROUND((Source!AE274*Source!AV274*Source!I274),2)),2), 2)</f>
        <v>0</v>
      </c>
      <c r="V569">
        <f>ROUND((160/100)*ROUND(ROUND((ROUND((Source!AE274*Source!AV274*Source!I274),2)*Source!BS274),2), 2), 2)</f>
        <v>0</v>
      </c>
      <c r="X569">
        <f>IF(Source!BI274&lt;=1,I569, 0)</f>
        <v>28.98</v>
      </c>
      <c r="Y569">
        <f>IF(Source!BI274=2,I569, 0)</f>
        <v>0</v>
      </c>
      <c r="Z569">
        <f>IF(Source!BI274=3,I569, 0)</f>
        <v>0</v>
      </c>
      <c r="AA569">
        <f>IF(Source!BI274=4,I569, 0)</f>
        <v>0</v>
      </c>
      <c r="AI569">
        <v>3</v>
      </c>
    </row>
    <row r="570" spans="1:35" ht="213.75" x14ac:dyDescent="0.2">
      <c r="A570" s="20" t="s">
        <v>558</v>
      </c>
      <c r="B570" s="20" t="str">
        <f>Source!F275</f>
        <v>1.1-1-3932</v>
      </c>
      <c r="C570" s="20" t="s">
        <v>976</v>
      </c>
      <c r="D570" s="22" t="str">
        <f>Source!H275</f>
        <v>кг</v>
      </c>
      <c r="E570" s="21">
        <f>Source!I275</f>
        <v>1.5</v>
      </c>
      <c r="F570" s="24">
        <f>Source!AK275</f>
        <v>108.25</v>
      </c>
      <c r="G570" s="33" t="s">
        <v>3</v>
      </c>
      <c r="H570" s="21">
        <f>Source!AW275</f>
        <v>1</v>
      </c>
      <c r="I570" s="24">
        <f>ROUND((ROUND((Source!AC275*Source!AW275*Source!I275),2)),2)+(ROUND((ROUND(((Source!ET275)*Source!AV275*Source!I275),2)),2)+ROUND((ROUND(((Source!AE275-(Source!EU275))*Source!AV275*Source!I275),2)),2))+ROUND((ROUND((Source!AF275*Source!AV275*Source!I275),2)),2)</f>
        <v>162.38</v>
      </c>
      <c r="J570" s="21">
        <f>IF(Source!BC275&lt;&gt; 0, Source!BC275, 1)</f>
        <v>4.74</v>
      </c>
      <c r="K570" s="24">
        <f>Source!O275</f>
        <v>769.68</v>
      </c>
      <c r="Q570">
        <f>ROUND((Source!DN275/100)*ROUND((ROUND((Source!AF275*Source!AV275*Source!I275),2)),2), 2)</f>
        <v>0</v>
      </c>
      <c r="R570">
        <f>Source!X275</f>
        <v>0</v>
      </c>
      <c r="S570">
        <f>ROUND((Source!DO275/100)*ROUND((ROUND((Source!AF275*Source!AV275*Source!I275),2)),2), 2)</f>
        <v>0</v>
      </c>
      <c r="T570">
        <f>Source!Y275</f>
        <v>0</v>
      </c>
      <c r="U570">
        <f>ROUND((175/100)*ROUND((ROUND((Source!AE275*Source!AV275*Source!I275),2)),2), 2)</f>
        <v>0</v>
      </c>
      <c r="V570">
        <f>ROUND((160/100)*ROUND(ROUND((ROUND((Source!AE275*Source!AV275*Source!I275),2)*Source!BS275),2), 2), 2)</f>
        <v>0</v>
      </c>
      <c r="X570">
        <f>IF(Source!BI275&lt;=1,I570, 0)</f>
        <v>162.38</v>
      </c>
      <c r="Y570">
        <f>IF(Source!BI275=2,I570, 0)</f>
        <v>0</v>
      </c>
      <c r="Z570">
        <f>IF(Source!BI275=3,I570, 0)</f>
        <v>0</v>
      </c>
      <c r="AA570">
        <f>IF(Source!BI275=4,I570, 0)</f>
        <v>0</v>
      </c>
      <c r="AI570">
        <v>3</v>
      </c>
    </row>
    <row r="571" spans="1:35" ht="14.25" x14ac:dyDescent="0.2">
      <c r="A571" s="20"/>
      <c r="B571" s="20"/>
      <c r="C571" s="20" t="s">
        <v>1010</v>
      </c>
      <c r="D571" s="22" t="s">
        <v>1011</v>
      </c>
      <c r="E571" s="21">
        <f>Source!DN273</f>
        <v>100</v>
      </c>
      <c r="F571" s="24"/>
      <c r="G571" s="23"/>
      <c r="H571" s="21"/>
      <c r="I571" s="24">
        <f>SUM(Q563:Q570)</f>
        <v>28.73</v>
      </c>
      <c r="J571" s="21">
        <f>Source!BZ273</f>
        <v>83</v>
      </c>
      <c r="K571" s="24">
        <f>SUM(R563:R570)</f>
        <v>700.83</v>
      </c>
    </row>
    <row r="572" spans="1:35" ht="14.25" x14ac:dyDescent="0.2">
      <c r="A572" s="20"/>
      <c r="B572" s="20"/>
      <c r="C572" s="20" t="s">
        <v>1012</v>
      </c>
      <c r="D572" s="22" t="s">
        <v>1011</v>
      </c>
      <c r="E572" s="21">
        <f>Source!DO273</f>
        <v>64</v>
      </c>
      <c r="F572" s="24"/>
      <c r="G572" s="23"/>
      <c r="H572" s="21"/>
      <c r="I572" s="24">
        <f>SUM(S563:S571)</f>
        <v>18.39</v>
      </c>
      <c r="J572" s="21">
        <f>Source!CA273</f>
        <v>41</v>
      </c>
      <c r="K572" s="24">
        <f>SUM(T563:T571)</f>
        <v>346.19</v>
      </c>
    </row>
    <row r="573" spans="1:35" ht="14.25" x14ac:dyDescent="0.2">
      <c r="A573" s="20"/>
      <c r="B573" s="20"/>
      <c r="C573" s="20" t="s">
        <v>1018</v>
      </c>
      <c r="D573" s="22" t="s">
        <v>1011</v>
      </c>
      <c r="E573" s="21">
        <f>175</f>
        <v>175</v>
      </c>
      <c r="F573" s="24"/>
      <c r="G573" s="23"/>
      <c r="H573" s="21"/>
      <c r="I573" s="24">
        <f>SUM(U563:U572)</f>
        <v>0.21</v>
      </c>
      <c r="J573" s="21">
        <f>160</f>
        <v>160</v>
      </c>
      <c r="K573" s="24">
        <f>SUM(V563:V572)</f>
        <v>5.65</v>
      </c>
    </row>
    <row r="574" spans="1:35" ht="14.25" x14ac:dyDescent="0.2">
      <c r="A574" s="26"/>
      <c r="B574" s="26"/>
      <c r="C574" s="26" t="s">
        <v>1013</v>
      </c>
      <c r="D574" s="27" t="s">
        <v>1014</v>
      </c>
      <c r="E574" s="28">
        <f>Source!AQ273</f>
        <v>43.56</v>
      </c>
      <c r="F574" s="29"/>
      <c r="G574" s="30" t="str">
        <f>Source!DI273</f>
        <v>)*1,15</v>
      </c>
      <c r="H574" s="28">
        <f>Source!AV273</f>
        <v>1</v>
      </c>
      <c r="I574" s="29">
        <f>Source!U273</f>
        <v>2.5047000000000001</v>
      </c>
      <c r="J574" s="28"/>
      <c r="K574" s="29"/>
      <c r="AB574" s="25">
        <f>I574</f>
        <v>2.5047000000000001</v>
      </c>
    </row>
    <row r="575" spans="1:35" ht="15" x14ac:dyDescent="0.25">
      <c r="C575" s="13" t="s">
        <v>1015</v>
      </c>
      <c r="H575" s="50">
        <f>I565+I566+I568+I571+I572+I573+SUM(I569:I570)</f>
        <v>308.16999999999996</v>
      </c>
      <c r="I575" s="50"/>
      <c r="J575" s="50">
        <f>K565+K566+K568+K571+K572+K573+SUM(K569:K570)</f>
        <v>2901.7200000000003</v>
      </c>
      <c r="K575" s="50"/>
      <c r="O575" s="25">
        <f>I565+I566+I568+I571+I572+I573+SUM(I569:I570)</f>
        <v>308.16999999999996</v>
      </c>
      <c r="P575" s="25">
        <f>K565+K566+K568+K571+K572+K573+SUM(K569:K570)</f>
        <v>2901.7200000000003</v>
      </c>
      <c r="X575">
        <f>IF(Source!BI273&lt;=1,I565+I566+I568+I571+I572+I573-0, 0)</f>
        <v>116.81</v>
      </c>
      <c r="Y575">
        <f>IF(Source!BI273=2,I565+I566+I568+I571+I572+I573-0, 0)</f>
        <v>0</v>
      </c>
      <c r="Z575">
        <f>IF(Source!BI273=3,I565+I566+I568+I571+I572+I573-0, 0)</f>
        <v>0</v>
      </c>
      <c r="AA575">
        <f>IF(Source!BI273=4,I565+I566+I568+I571+I572+I573,0)</f>
        <v>0</v>
      </c>
    </row>
    <row r="578" spans="1:35" ht="15" x14ac:dyDescent="0.25">
      <c r="A578" s="54" t="str">
        <f>CONCATENATE("Итого по разделу: ",IF(Source!G277&lt;&gt;"Новый раздел", Source!G277, ""))</f>
        <v>Итого по разделу: Двери</v>
      </c>
      <c r="B578" s="54"/>
      <c r="C578" s="54"/>
      <c r="D578" s="54"/>
      <c r="E578" s="54"/>
      <c r="F578" s="54"/>
      <c r="G578" s="54"/>
      <c r="H578" s="52">
        <f>SUM(O517:O577)</f>
        <v>40603.75</v>
      </c>
      <c r="I578" s="53"/>
      <c r="J578" s="52">
        <f>SUM(P517:P577)</f>
        <v>302603.94999999995</v>
      </c>
      <c r="K578" s="53"/>
    </row>
    <row r="579" spans="1:35" hidden="1" x14ac:dyDescent="0.2">
      <c r="A579" t="s">
        <v>1020</v>
      </c>
      <c r="H579">
        <f>SUM(AC517:AC578)</f>
        <v>0</v>
      </c>
      <c r="J579">
        <f>SUM(AD517:AD578)</f>
        <v>0</v>
      </c>
    </row>
    <row r="580" spans="1:35" hidden="1" x14ac:dyDescent="0.2">
      <c r="A580" t="s">
        <v>1021</v>
      </c>
      <c r="H580">
        <f>SUM(AE517:AE579)</f>
        <v>0</v>
      </c>
      <c r="J580">
        <f>SUM(AF517:AF579)</f>
        <v>0</v>
      </c>
    </row>
    <row r="582" spans="1:35" ht="16.5" x14ac:dyDescent="0.25">
      <c r="A582" s="43" t="str">
        <f>CONCATENATE("Раздел: ",IF(Source!G307&lt;&gt;"Новый раздел", Source!G307, ""))</f>
        <v>Раздел: Окна</v>
      </c>
      <c r="B582" s="43"/>
      <c r="C582" s="43"/>
      <c r="D582" s="43"/>
      <c r="E582" s="43"/>
      <c r="F582" s="43"/>
      <c r="G582" s="43"/>
      <c r="H582" s="43"/>
      <c r="I582" s="43"/>
      <c r="J582" s="43"/>
      <c r="K582" s="43"/>
    </row>
    <row r="583" spans="1:35" ht="42.75" x14ac:dyDescent="0.2">
      <c r="A583" s="20">
        <v>43</v>
      </c>
      <c r="B583" s="20" t="str">
        <f>Source!F311</f>
        <v>6.56-38-1</v>
      </c>
      <c r="C583" s="20" t="s">
        <v>562</v>
      </c>
      <c r="D583" s="22" t="str">
        <f>Source!H311</f>
        <v>100 м2</v>
      </c>
      <c r="E583" s="21">
        <f>Source!I311</f>
        <v>0.18</v>
      </c>
      <c r="F583" s="24"/>
      <c r="G583" s="23"/>
      <c r="H583" s="21"/>
      <c r="I583" s="24"/>
      <c r="J583" s="21"/>
      <c r="K583" s="24"/>
      <c r="Q583">
        <f>ROUND((Source!DN311/100)*ROUND((ROUND((Source!AF311*Source!AV311*Source!I311),2)),2), 2)</f>
        <v>252.45</v>
      </c>
      <c r="R583">
        <f>Source!X311</f>
        <v>6648.85</v>
      </c>
      <c r="S583">
        <f>ROUND((Source!DO311/100)*ROUND((ROUND((Source!AF311*Source!AV311*Source!I311),2)),2), 2)</f>
        <v>173.56</v>
      </c>
      <c r="T583">
        <f>Source!Y311</f>
        <v>3894.33</v>
      </c>
      <c r="U583">
        <f>ROUND((175/100)*ROUND((ROUND((Source!AE311*Source!AV311*Source!I311),2)),2), 2)</f>
        <v>0</v>
      </c>
      <c r="V583">
        <f>ROUND((160/100)*ROUND(ROUND((ROUND((Source!AE311*Source!AV311*Source!I311),2)*Source!BS311),2), 2), 2)</f>
        <v>0</v>
      </c>
      <c r="AI583">
        <v>0</v>
      </c>
    </row>
    <row r="584" spans="1:35" x14ac:dyDescent="0.2">
      <c r="C584" s="31" t="str">
        <f>"Объем: "&amp;Source!I311&amp;"=(1,2*"&amp;"1,5*"&amp;"10)/"&amp;"100"</f>
        <v>Объем: 0,18=(1,2*1,5*10)/100</v>
      </c>
    </row>
    <row r="585" spans="1:35" ht="14.25" x14ac:dyDescent="0.2">
      <c r="A585" s="20"/>
      <c r="B585" s="20"/>
      <c r="C585" s="20" t="s">
        <v>1009</v>
      </c>
      <c r="D585" s="22"/>
      <c r="E585" s="21"/>
      <c r="F585" s="24">
        <f>Source!AO311</f>
        <v>1753.13</v>
      </c>
      <c r="G585" s="23" t="str">
        <f>Source!DG311</f>
        <v/>
      </c>
      <c r="H585" s="21">
        <f>Source!AV311</f>
        <v>1</v>
      </c>
      <c r="I585" s="24">
        <f>ROUND((ROUND((Source!AF311*Source!AV311*Source!I311),2)),2)</f>
        <v>315.56</v>
      </c>
      <c r="J585" s="21">
        <f>IF(Source!BA311&lt;&gt; 0, Source!BA311, 1)</f>
        <v>30.1</v>
      </c>
      <c r="K585" s="24">
        <f>Source!S311</f>
        <v>9498.36</v>
      </c>
      <c r="W585">
        <f>I585</f>
        <v>315.56</v>
      </c>
    </row>
    <row r="586" spans="1:35" ht="14.25" x14ac:dyDescent="0.2">
      <c r="A586" s="20"/>
      <c r="B586" s="20"/>
      <c r="C586" s="20" t="s">
        <v>1010</v>
      </c>
      <c r="D586" s="22" t="s">
        <v>1011</v>
      </c>
      <c r="E586" s="21">
        <f>Source!DN311</f>
        <v>80</v>
      </c>
      <c r="F586" s="24"/>
      <c r="G586" s="23"/>
      <c r="H586" s="21"/>
      <c r="I586" s="24">
        <f>SUM(Q583:Q585)</f>
        <v>252.45</v>
      </c>
      <c r="J586" s="21">
        <f>Source!BZ311</f>
        <v>70</v>
      </c>
      <c r="K586" s="24">
        <f>SUM(R583:R585)</f>
        <v>6648.85</v>
      </c>
    </row>
    <row r="587" spans="1:35" ht="14.25" x14ac:dyDescent="0.2">
      <c r="A587" s="20"/>
      <c r="B587" s="20"/>
      <c r="C587" s="20" t="s">
        <v>1012</v>
      </c>
      <c r="D587" s="22" t="s">
        <v>1011</v>
      </c>
      <c r="E587" s="21">
        <f>Source!DO311</f>
        <v>55</v>
      </c>
      <c r="F587" s="24"/>
      <c r="G587" s="23"/>
      <c r="H587" s="21"/>
      <c r="I587" s="24">
        <f>SUM(S583:S586)</f>
        <v>173.56</v>
      </c>
      <c r="J587" s="21">
        <f>Source!CA311</f>
        <v>41</v>
      </c>
      <c r="K587" s="24">
        <f>SUM(T583:T586)</f>
        <v>3894.33</v>
      </c>
    </row>
    <row r="588" spans="1:35" ht="14.25" x14ac:dyDescent="0.2">
      <c r="A588" s="26"/>
      <c r="B588" s="26"/>
      <c r="C588" s="26" t="s">
        <v>1013</v>
      </c>
      <c r="D588" s="27" t="s">
        <v>1014</v>
      </c>
      <c r="E588" s="28">
        <f>Source!AQ311</f>
        <v>165.39</v>
      </c>
      <c r="F588" s="29"/>
      <c r="G588" s="30" t="str">
        <f>Source!DI311</f>
        <v/>
      </c>
      <c r="H588" s="28">
        <f>Source!AV311</f>
        <v>1</v>
      </c>
      <c r="I588" s="29">
        <f>Source!U311</f>
        <v>29.770199999999996</v>
      </c>
      <c r="J588" s="28"/>
      <c r="K588" s="29"/>
      <c r="AB588" s="25">
        <f>I588</f>
        <v>29.770199999999996</v>
      </c>
    </row>
    <row r="589" spans="1:35" ht="15" x14ac:dyDescent="0.25">
      <c r="C589" s="13" t="s">
        <v>1015</v>
      </c>
      <c r="H589" s="50">
        <f>I585+I586+I587+0</f>
        <v>741.56999999999994</v>
      </c>
      <c r="I589" s="50"/>
      <c r="J589" s="50">
        <f>K585+K586+K587+0</f>
        <v>20041.54</v>
      </c>
      <c r="K589" s="50"/>
      <c r="O589" s="25">
        <f>I585+I586+I587+0</f>
        <v>741.56999999999994</v>
      </c>
      <c r="P589" s="25">
        <f>K585+K586+K587+0</f>
        <v>20041.54</v>
      </c>
      <c r="X589">
        <f>IF(Source!BI311&lt;=1,I585+I586+I587-0, 0)</f>
        <v>741.56999999999994</v>
      </c>
      <c r="Y589">
        <f>IF(Source!BI311=2,I585+I586+I587-0, 0)</f>
        <v>0</v>
      </c>
      <c r="Z589">
        <f>IF(Source!BI311=3,I585+I586+I587-0, 0)</f>
        <v>0</v>
      </c>
      <c r="AA589">
        <f>IF(Source!BI311=4,I585+I586+I587,0)</f>
        <v>0</v>
      </c>
    </row>
    <row r="591" spans="1:35" ht="71.25" x14ac:dyDescent="0.2">
      <c r="A591" s="20">
        <v>44</v>
      </c>
      <c r="B591" s="20" t="str">
        <f>Source!F312</f>
        <v>3.10-84-3</v>
      </c>
      <c r="C591" s="20" t="s">
        <v>568</v>
      </c>
      <c r="D591" s="22" t="str">
        <f>Source!H312</f>
        <v>100 м2</v>
      </c>
      <c r="E591" s="21">
        <f>Source!I312</f>
        <v>0.18</v>
      </c>
      <c r="F591" s="24"/>
      <c r="G591" s="23"/>
      <c r="H591" s="21"/>
      <c r="I591" s="24"/>
      <c r="J591" s="21"/>
      <c r="K591" s="24"/>
      <c r="Q591">
        <f>ROUND((Source!DN312/100)*ROUND((ROUND((Source!AF312*Source!AV312*Source!I312),2)),2), 2)</f>
        <v>544.30999999999995</v>
      </c>
      <c r="R591">
        <f>Source!X312</f>
        <v>13575.08</v>
      </c>
      <c r="S591">
        <f>ROUND((Source!DO312/100)*ROUND((ROUND((Source!AF312*Source!AV312*Source!I312),2)),2), 2)</f>
        <v>362.87</v>
      </c>
      <c r="T591">
        <f>Source!Y312</f>
        <v>6397.45</v>
      </c>
      <c r="U591">
        <f>ROUND((175/100)*ROUND((ROUND((Source!AE312*Source!AV312*Source!I312),2)),2), 2)</f>
        <v>16.29</v>
      </c>
      <c r="V591">
        <f>ROUND((160/100)*ROUND(ROUND((ROUND((Source!AE312*Source!AV312*Source!I312),2)*Source!BS312),2), 2), 2)</f>
        <v>448.37</v>
      </c>
      <c r="AI591">
        <v>0</v>
      </c>
    </row>
    <row r="592" spans="1:35" x14ac:dyDescent="0.2">
      <c r="C592" s="31" t="str">
        <f>"Объем: "&amp;Source!I312&amp;"=18/"&amp;"100"</f>
        <v>Объем: 0,18=18/100</v>
      </c>
    </row>
    <row r="593" spans="1:35" ht="14.25" x14ac:dyDescent="0.2">
      <c r="A593" s="20"/>
      <c r="B593" s="20"/>
      <c r="C593" s="20" t="s">
        <v>1009</v>
      </c>
      <c r="D593" s="22"/>
      <c r="E593" s="21"/>
      <c r="F593" s="24">
        <f>Source!AO312</f>
        <v>2504.29</v>
      </c>
      <c r="G593" s="23" t="str">
        <f>Source!DG312</f>
        <v>)*1,15</v>
      </c>
      <c r="H593" s="21">
        <f>Source!AV312</f>
        <v>1</v>
      </c>
      <c r="I593" s="24">
        <f>ROUND((ROUND((Source!AF312*Source!AV312*Source!I312),2)),2)</f>
        <v>518.39</v>
      </c>
      <c r="J593" s="21">
        <f>IF(Source!BA312&lt;&gt; 0, Source!BA312, 1)</f>
        <v>30.1</v>
      </c>
      <c r="K593" s="24">
        <f>Source!S312</f>
        <v>15603.54</v>
      </c>
      <c r="W593">
        <f>I593</f>
        <v>518.39</v>
      </c>
    </row>
    <row r="594" spans="1:35" ht="14.25" x14ac:dyDescent="0.2">
      <c r="A594" s="20"/>
      <c r="B594" s="20"/>
      <c r="C594" s="20" t="s">
        <v>1016</v>
      </c>
      <c r="D594" s="22"/>
      <c r="E594" s="21"/>
      <c r="F594" s="24">
        <f>Source!AM312</f>
        <v>310.5</v>
      </c>
      <c r="G594" s="23" t="str">
        <f>Source!DE312</f>
        <v>)*1,25</v>
      </c>
      <c r="H594" s="21">
        <f>Source!AV312</f>
        <v>1</v>
      </c>
      <c r="I594" s="24">
        <f>(ROUND((ROUND((((Source!ET312*1.25))*Source!AV312*Source!I312),2)),2)+ROUND((ROUND(((Source!AE312-((Source!EU312*1.25)))*Source!AV312*Source!I312),2)),2))</f>
        <v>69.86</v>
      </c>
      <c r="J594" s="21">
        <f>IF(Source!BB312&lt;&gt; 0, Source!BB312, 1)</f>
        <v>11.65</v>
      </c>
      <c r="K594" s="24">
        <f>Source!Q312</f>
        <v>813.87</v>
      </c>
    </row>
    <row r="595" spans="1:35" ht="14.25" x14ac:dyDescent="0.2">
      <c r="A595" s="20"/>
      <c r="B595" s="20"/>
      <c r="C595" s="20" t="s">
        <v>1017</v>
      </c>
      <c r="D595" s="22"/>
      <c r="E595" s="21"/>
      <c r="F595" s="24">
        <f>Source!AN312</f>
        <v>41.39</v>
      </c>
      <c r="G595" s="23" t="str">
        <f>Source!DF312</f>
        <v>)*1,25</v>
      </c>
      <c r="H595" s="21">
        <f>Source!AV312</f>
        <v>1</v>
      </c>
      <c r="I595" s="32">
        <f>ROUND((ROUND((Source!AE312*Source!AV312*Source!I312),2)),2)</f>
        <v>9.31</v>
      </c>
      <c r="J595" s="21">
        <f>IF(Source!BS312&lt;&gt; 0, Source!BS312, 1)</f>
        <v>30.1</v>
      </c>
      <c r="K595" s="32">
        <f>Source!R312</f>
        <v>280.23</v>
      </c>
      <c r="W595">
        <f>I595</f>
        <v>9.31</v>
      </c>
    </row>
    <row r="596" spans="1:35" ht="14.25" x14ac:dyDescent="0.2">
      <c r="A596" s="20"/>
      <c r="B596" s="20"/>
      <c r="C596" s="20" t="s">
        <v>1019</v>
      </c>
      <c r="D596" s="22"/>
      <c r="E596" s="21"/>
      <c r="F596" s="24">
        <f>Source!AL312</f>
        <v>7556.85</v>
      </c>
      <c r="G596" s="23" t="str">
        <f>Source!DD312</f>
        <v/>
      </c>
      <c r="H596" s="21">
        <f>Source!AW312</f>
        <v>1</v>
      </c>
      <c r="I596" s="24">
        <f>ROUND((ROUND((Source!AC312*Source!AW312*Source!I312),2)),2)</f>
        <v>1360.23</v>
      </c>
      <c r="J596" s="21">
        <f>IF(Source!BC312&lt;&gt; 0, Source!BC312, 1)</f>
        <v>3.52</v>
      </c>
      <c r="K596" s="24">
        <f>Source!P312</f>
        <v>4788.01</v>
      </c>
    </row>
    <row r="597" spans="1:35" ht="256.5" x14ac:dyDescent="0.2">
      <c r="A597" s="20" t="s">
        <v>572</v>
      </c>
      <c r="B597" s="20" t="str">
        <f>Source!F313</f>
        <v>1.1-1-2980</v>
      </c>
      <c r="C597" s="20" t="s">
        <v>983</v>
      </c>
      <c r="D597" s="22" t="str">
        <f>Source!H313</f>
        <v>м</v>
      </c>
      <c r="E597" s="21">
        <f>Source!I313</f>
        <v>77.22</v>
      </c>
      <c r="F597" s="24">
        <f>Source!AK313</f>
        <v>14.75</v>
      </c>
      <c r="G597" s="33" t="s">
        <v>3</v>
      </c>
      <c r="H597" s="21">
        <f>Source!AW313</f>
        <v>1</v>
      </c>
      <c r="I597" s="24">
        <f>ROUND((ROUND((Source!AC313*Source!AW313*Source!I313),2)),2)+(ROUND((ROUND(((Source!ET313)*Source!AV313*Source!I313),2)),2)+ROUND((ROUND(((Source!AE313-(Source!EU313))*Source!AV313*Source!I313),2)),2))+ROUND((ROUND((Source!AF313*Source!AV313*Source!I313),2)),2)</f>
        <v>1139</v>
      </c>
      <c r="J597" s="21">
        <f>IF(Source!BC313&lt;&gt; 0, Source!BC313, 1)</f>
        <v>1.56</v>
      </c>
      <c r="K597" s="24">
        <f>Source!O313</f>
        <v>1776.84</v>
      </c>
      <c r="Q597">
        <f>ROUND((Source!DN313/100)*ROUND((ROUND((Source!AF313*Source!AV313*Source!I313),2)),2), 2)</f>
        <v>0</v>
      </c>
      <c r="R597">
        <f>Source!X313</f>
        <v>0</v>
      </c>
      <c r="S597">
        <f>ROUND((Source!DO313/100)*ROUND((ROUND((Source!AF313*Source!AV313*Source!I313),2)),2), 2)</f>
        <v>0</v>
      </c>
      <c r="T597">
        <f>Source!Y313</f>
        <v>0</v>
      </c>
      <c r="U597">
        <f>ROUND((175/100)*ROUND((ROUND((Source!AE313*Source!AV313*Source!I313),2)),2), 2)</f>
        <v>0</v>
      </c>
      <c r="V597">
        <f>ROUND((160/100)*ROUND(ROUND((ROUND((Source!AE313*Source!AV313*Source!I313),2)*Source!BS313),2), 2), 2)</f>
        <v>0</v>
      </c>
      <c r="X597">
        <f>IF(Source!BI313&lt;=1,I597, 0)</f>
        <v>1139</v>
      </c>
      <c r="Y597">
        <f>IF(Source!BI313=2,I597, 0)</f>
        <v>0</v>
      </c>
      <c r="Z597">
        <f>IF(Source!BI313=3,I597, 0)</f>
        <v>0</v>
      </c>
      <c r="AA597">
        <f>IF(Source!BI313=4,I597, 0)</f>
        <v>0</v>
      </c>
      <c r="AI597">
        <v>3</v>
      </c>
    </row>
    <row r="598" spans="1:35" ht="199.5" x14ac:dyDescent="0.2">
      <c r="A598" s="20" t="s">
        <v>575</v>
      </c>
      <c r="B598" s="20" t="str">
        <f>Source!F314</f>
        <v>1.1-1-2469</v>
      </c>
      <c r="C598" s="20" t="s">
        <v>982</v>
      </c>
      <c r="D598" s="22" t="str">
        <f>Source!H314</f>
        <v>м</v>
      </c>
      <c r="E598" s="21">
        <f>Source!I314</f>
        <v>12.059999999999999</v>
      </c>
      <c r="F598" s="24">
        <f>Source!AK314</f>
        <v>14.98</v>
      </c>
      <c r="G598" s="33" t="s">
        <v>3</v>
      </c>
      <c r="H598" s="21">
        <f>Source!AW314</f>
        <v>1</v>
      </c>
      <c r="I598" s="24">
        <f>ROUND((ROUND((Source!AC314*Source!AW314*Source!I314),2)),2)+(ROUND((ROUND(((Source!ET314)*Source!AV314*Source!I314),2)),2)+ROUND((ROUND(((Source!AE314-(Source!EU314))*Source!AV314*Source!I314),2)),2))+ROUND((ROUND((Source!AF314*Source!AV314*Source!I314),2)),2)</f>
        <v>180.66</v>
      </c>
      <c r="J598" s="21">
        <f>IF(Source!BC314&lt;&gt; 0, Source!BC314, 1)</f>
        <v>1.41</v>
      </c>
      <c r="K598" s="24">
        <f>Source!O314</f>
        <v>254.73</v>
      </c>
      <c r="Q598">
        <f>ROUND((Source!DN314/100)*ROUND((ROUND((Source!AF314*Source!AV314*Source!I314),2)),2), 2)</f>
        <v>0</v>
      </c>
      <c r="R598">
        <f>Source!X314</f>
        <v>0</v>
      </c>
      <c r="S598">
        <f>ROUND((Source!DO314/100)*ROUND((ROUND((Source!AF314*Source!AV314*Source!I314),2)),2), 2)</f>
        <v>0</v>
      </c>
      <c r="T598">
        <f>Source!Y314</f>
        <v>0</v>
      </c>
      <c r="U598">
        <f>ROUND((175/100)*ROUND((ROUND((Source!AE314*Source!AV314*Source!I314),2)),2), 2)</f>
        <v>0</v>
      </c>
      <c r="V598">
        <f>ROUND((160/100)*ROUND(ROUND((ROUND((Source!AE314*Source!AV314*Source!I314),2)*Source!BS314),2), 2), 2)</f>
        <v>0</v>
      </c>
      <c r="X598">
        <f>IF(Source!BI314&lt;=1,I598, 0)</f>
        <v>180.66</v>
      </c>
      <c r="Y598">
        <f>IF(Source!BI314=2,I598, 0)</f>
        <v>0</v>
      </c>
      <c r="Z598">
        <f>IF(Source!BI314=3,I598, 0)</f>
        <v>0</v>
      </c>
      <c r="AA598">
        <f>IF(Source!BI314=4,I598, 0)</f>
        <v>0</v>
      </c>
      <c r="AI598">
        <v>3</v>
      </c>
    </row>
    <row r="599" spans="1:35" ht="85.5" x14ac:dyDescent="0.2">
      <c r="A599" s="20" t="s">
        <v>578</v>
      </c>
      <c r="B599" s="20" t="str">
        <f>Source!F315</f>
        <v>1.9-1-235</v>
      </c>
      <c r="C599" s="20" t="s">
        <v>580</v>
      </c>
      <c r="D599" s="22" t="str">
        <f>Source!H315</f>
        <v>м2</v>
      </c>
      <c r="E599" s="21">
        <f>Source!I315</f>
        <v>18</v>
      </c>
      <c r="F599" s="24">
        <f>Source!AK315</f>
        <v>4459.47</v>
      </c>
      <c r="G599" s="33" t="s">
        <v>3</v>
      </c>
      <c r="H599" s="21">
        <f>Source!AW315</f>
        <v>1</v>
      </c>
      <c r="I599" s="24">
        <f>ROUND((ROUND((Source!AC315*Source!AW315*Source!I315),2)),2)+(ROUND((ROUND(((Source!ET315)*Source!AV315*Source!I315),2)),2)+ROUND((ROUND(((Source!AE315-(Source!EU315))*Source!AV315*Source!I315),2)),2))+ROUND((ROUND((Source!AF315*Source!AV315*Source!I315),2)),2)</f>
        <v>80270.460000000006</v>
      </c>
      <c r="J599" s="21">
        <f>IF(Source!BC315&lt;&gt; 0, Source!BC315, 1)</f>
        <v>1.97</v>
      </c>
      <c r="K599" s="24">
        <f>Source!O315</f>
        <v>158132.81</v>
      </c>
      <c r="Q599">
        <f>ROUND((Source!DN315/100)*ROUND((ROUND((Source!AF315*Source!AV315*Source!I315),2)),2), 2)</f>
        <v>0</v>
      </c>
      <c r="R599">
        <f>Source!X315</f>
        <v>0</v>
      </c>
      <c r="S599">
        <f>ROUND((Source!DO315/100)*ROUND((ROUND((Source!AF315*Source!AV315*Source!I315),2)),2), 2)</f>
        <v>0</v>
      </c>
      <c r="T599">
        <f>Source!Y315</f>
        <v>0</v>
      </c>
      <c r="U599">
        <f>ROUND((175/100)*ROUND((ROUND((Source!AE315*Source!AV315*Source!I315),2)),2), 2)</f>
        <v>0</v>
      </c>
      <c r="V599">
        <f>ROUND((160/100)*ROUND(ROUND((ROUND((Source!AE315*Source!AV315*Source!I315),2)*Source!BS315),2), 2), 2)</f>
        <v>0</v>
      </c>
      <c r="X599">
        <f>IF(Source!BI315&lt;=1,I599, 0)</f>
        <v>80270.460000000006</v>
      </c>
      <c r="Y599">
        <f>IF(Source!BI315=2,I599, 0)</f>
        <v>0</v>
      </c>
      <c r="Z599">
        <f>IF(Source!BI315=3,I599, 0)</f>
        <v>0</v>
      </c>
      <c r="AA599">
        <f>IF(Source!BI315=4,I599, 0)</f>
        <v>0</v>
      </c>
      <c r="AI599">
        <v>3</v>
      </c>
    </row>
    <row r="600" spans="1:35" ht="42.75" x14ac:dyDescent="0.2">
      <c r="A600" s="20" t="s">
        <v>582</v>
      </c>
      <c r="B600" s="20" t="str">
        <f>Source!F316</f>
        <v>1.1-1-2983</v>
      </c>
      <c r="C600" s="20" t="s">
        <v>584</v>
      </c>
      <c r="D600" s="22" t="str">
        <f>Source!H316</f>
        <v>м</v>
      </c>
      <c r="E600" s="21">
        <f>Source!I316</f>
        <v>48.78</v>
      </c>
      <c r="F600" s="24">
        <f>Source!AK316</f>
        <v>5.49</v>
      </c>
      <c r="G600" s="33" t="s">
        <v>3</v>
      </c>
      <c r="H600" s="21">
        <f>Source!AW316</f>
        <v>1</v>
      </c>
      <c r="I600" s="24">
        <f>ROUND((ROUND((Source!AC316*Source!AW316*Source!I316),2)),2)+(ROUND((ROUND(((Source!ET316)*Source!AV316*Source!I316),2)),2)+ROUND((ROUND(((Source!AE316-(Source!EU316))*Source!AV316*Source!I316),2)),2))+ROUND((ROUND((Source!AF316*Source!AV316*Source!I316),2)),2)</f>
        <v>267.8</v>
      </c>
      <c r="J600" s="21">
        <f>IF(Source!BC316&lt;&gt; 0, Source!BC316, 1)</f>
        <v>0.86</v>
      </c>
      <c r="K600" s="24">
        <f>Source!O316</f>
        <v>230.31</v>
      </c>
      <c r="Q600">
        <f>ROUND((Source!DN316/100)*ROUND((ROUND((Source!AF316*Source!AV316*Source!I316),2)),2), 2)</f>
        <v>0</v>
      </c>
      <c r="R600">
        <f>Source!X316</f>
        <v>0</v>
      </c>
      <c r="S600">
        <f>ROUND((Source!DO316/100)*ROUND((ROUND((Source!AF316*Source!AV316*Source!I316),2)),2), 2)</f>
        <v>0</v>
      </c>
      <c r="T600">
        <f>Source!Y316</f>
        <v>0</v>
      </c>
      <c r="U600">
        <f>ROUND((175/100)*ROUND((ROUND((Source!AE316*Source!AV316*Source!I316),2)),2), 2)</f>
        <v>0</v>
      </c>
      <c r="V600">
        <f>ROUND((160/100)*ROUND(ROUND((ROUND((Source!AE316*Source!AV316*Source!I316),2)*Source!BS316),2), 2), 2)</f>
        <v>0</v>
      </c>
      <c r="X600">
        <f>IF(Source!BI316&lt;=1,I600, 0)</f>
        <v>267.8</v>
      </c>
      <c r="Y600">
        <f>IF(Source!BI316=2,I600, 0)</f>
        <v>0</v>
      </c>
      <c r="Z600">
        <f>IF(Source!BI316=3,I600, 0)</f>
        <v>0</v>
      </c>
      <c r="AA600">
        <f>IF(Source!BI316=4,I600, 0)</f>
        <v>0</v>
      </c>
      <c r="AI600">
        <v>3</v>
      </c>
    </row>
    <row r="601" spans="1:35" ht="14.25" x14ac:dyDescent="0.2">
      <c r="A601" s="20"/>
      <c r="B601" s="20"/>
      <c r="C601" s="20" t="s">
        <v>1010</v>
      </c>
      <c r="D601" s="22" t="s">
        <v>1011</v>
      </c>
      <c r="E601" s="21">
        <f>Source!DN312</f>
        <v>105</v>
      </c>
      <c r="F601" s="24"/>
      <c r="G601" s="23"/>
      <c r="H601" s="21"/>
      <c r="I601" s="24">
        <f>SUM(Q591:Q600)</f>
        <v>544.30999999999995</v>
      </c>
      <c r="J601" s="21">
        <f>Source!BZ312</f>
        <v>87</v>
      </c>
      <c r="K601" s="24">
        <f>SUM(R591:R600)</f>
        <v>13575.08</v>
      </c>
    </row>
    <row r="602" spans="1:35" ht="14.25" x14ac:dyDescent="0.2">
      <c r="A602" s="20"/>
      <c r="B602" s="20"/>
      <c r="C602" s="20" t="s">
        <v>1012</v>
      </c>
      <c r="D602" s="22" t="s">
        <v>1011</v>
      </c>
      <c r="E602" s="21">
        <f>Source!DO312</f>
        <v>70</v>
      </c>
      <c r="F602" s="24"/>
      <c r="G602" s="23"/>
      <c r="H602" s="21"/>
      <c r="I602" s="24">
        <f>SUM(S591:S601)</f>
        <v>362.87</v>
      </c>
      <c r="J602" s="21">
        <f>Source!CA312</f>
        <v>41</v>
      </c>
      <c r="K602" s="24">
        <f>SUM(T591:T601)</f>
        <v>6397.45</v>
      </c>
    </row>
    <row r="603" spans="1:35" ht="14.25" x14ac:dyDescent="0.2">
      <c r="A603" s="20"/>
      <c r="B603" s="20"/>
      <c r="C603" s="20" t="s">
        <v>1018</v>
      </c>
      <c r="D603" s="22" t="s">
        <v>1011</v>
      </c>
      <c r="E603" s="21">
        <f>175</f>
        <v>175</v>
      </c>
      <c r="F603" s="24"/>
      <c r="G603" s="23"/>
      <c r="H603" s="21"/>
      <c r="I603" s="24">
        <f>SUM(U591:U602)</f>
        <v>16.29</v>
      </c>
      <c r="J603" s="21">
        <f>160</f>
        <v>160</v>
      </c>
      <c r="K603" s="24">
        <f>SUM(V591:V602)</f>
        <v>448.37</v>
      </c>
    </row>
    <row r="604" spans="1:35" ht="14.25" x14ac:dyDescent="0.2">
      <c r="A604" s="26"/>
      <c r="B604" s="26"/>
      <c r="C604" s="26" t="s">
        <v>1013</v>
      </c>
      <c r="D604" s="27" t="s">
        <v>1014</v>
      </c>
      <c r="E604" s="28">
        <f>Source!AQ312</f>
        <v>214.09</v>
      </c>
      <c r="F604" s="29"/>
      <c r="G604" s="30" t="str">
        <f>Source!DI312</f>
        <v>)*1,15</v>
      </c>
      <c r="H604" s="28">
        <f>Source!AV312</f>
        <v>1</v>
      </c>
      <c r="I604" s="29">
        <f>Source!U312</f>
        <v>44.316629999999996</v>
      </c>
      <c r="J604" s="28"/>
      <c r="K604" s="29"/>
      <c r="AB604" s="25">
        <f>I604</f>
        <v>44.316629999999996</v>
      </c>
    </row>
    <row r="605" spans="1:35" ht="15" x14ac:dyDescent="0.25">
      <c r="C605" s="13" t="s">
        <v>1015</v>
      </c>
      <c r="H605" s="50">
        <f>I593+I594+I596+I601+I602+I603+SUM(I597:I600)</f>
        <v>84729.87000000001</v>
      </c>
      <c r="I605" s="50"/>
      <c r="J605" s="50">
        <f>K593+K594+K596+K601+K602+K603+SUM(K597:K600)</f>
        <v>202021.01</v>
      </c>
      <c r="K605" s="50"/>
      <c r="O605" s="25">
        <f>I593+I594+I596+I601+I602+I603+SUM(I597:I600)</f>
        <v>84729.87000000001</v>
      </c>
      <c r="P605" s="25">
        <f>K593+K594+K596+K601+K602+K603+SUM(K597:K600)</f>
        <v>202021.01</v>
      </c>
      <c r="X605">
        <f>IF(Source!BI312&lt;=1,I593+I594+I596+I601+I602+I603-0, 0)</f>
        <v>2871.95</v>
      </c>
      <c r="Y605">
        <f>IF(Source!BI312=2,I593+I594+I596+I601+I602+I603-0, 0)</f>
        <v>0</v>
      </c>
      <c r="Z605">
        <f>IF(Source!BI312=3,I593+I594+I596+I601+I602+I603-0, 0)</f>
        <v>0</v>
      </c>
      <c r="AA605">
        <f>IF(Source!BI312=4,I593+I594+I596+I601+I602+I603,0)</f>
        <v>0</v>
      </c>
    </row>
    <row r="607" spans="1:35" ht="28.5" x14ac:dyDescent="0.2">
      <c r="A607" s="20">
        <v>45</v>
      </c>
      <c r="B607" s="20" t="str">
        <f>Source!F317</f>
        <v>3.10-85-3</v>
      </c>
      <c r="C607" s="20" t="s">
        <v>588</v>
      </c>
      <c r="D607" s="22" t="str">
        <f>Source!H317</f>
        <v>100 м</v>
      </c>
      <c r="E607" s="21">
        <f>Source!I317</f>
        <v>0.27</v>
      </c>
      <c r="F607" s="24"/>
      <c r="G607" s="23"/>
      <c r="H607" s="21"/>
      <c r="I607" s="24"/>
      <c r="J607" s="21"/>
      <c r="K607" s="24"/>
      <c r="Q607">
        <f>ROUND((Source!DN317/100)*ROUND((ROUND((Source!AF317*Source!AV317*Source!I317),2)),2), 2)</f>
        <v>72.92</v>
      </c>
      <c r="R607">
        <f>Source!X317</f>
        <v>1818.69</v>
      </c>
      <c r="S607">
        <f>ROUND((Source!DO317/100)*ROUND((ROUND((Source!AF317*Source!AV317*Source!I317),2)),2), 2)</f>
        <v>48.62</v>
      </c>
      <c r="T607">
        <f>Source!Y317</f>
        <v>857.08</v>
      </c>
      <c r="U607">
        <f>ROUND((175/100)*ROUND((ROUND((Source!AE317*Source!AV317*Source!I317),2)),2), 2)</f>
        <v>1.28</v>
      </c>
      <c r="V607">
        <f>ROUND((160/100)*ROUND(ROUND((ROUND((Source!AE317*Source!AV317*Source!I317),2)*Source!BS317),2), 2), 2)</f>
        <v>35.15</v>
      </c>
      <c r="AI607">
        <v>0</v>
      </c>
    </row>
    <row r="608" spans="1:35" x14ac:dyDescent="0.2">
      <c r="C608" s="31" t="str">
        <f>"Объем: "&amp;Source!I317&amp;"=27/"&amp;"100"</f>
        <v>Объем: 0,27=27/100</v>
      </c>
    </row>
    <row r="609" spans="1:35" ht="14.25" x14ac:dyDescent="0.2">
      <c r="A609" s="20"/>
      <c r="B609" s="20"/>
      <c r="C609" s="20" t="s">
        <v>1009</v>
      </c>
      <c r="D609" s="22"/>
      <c r="E609" s="21"/>
      <c r="F609" s="24">
        <f>Source!AO317</f>
        <v>223.67</v>
      </c>
      <c r="G609" s="23" t="str">
        <f>Source!DG317</f>
        <v>)*1,15</v>
      </c>
      <c r="H609" s="21">
        <f>Source!AV317</f>
        <v>1</v>
      </c>
      <c r="I609" s="24">
        <f>ROUND((ROUND((Source!AF317*Source!AV317*Source!I317),2)),2)</f>
        <v>69.45</v>
      </c>
      <c r="J609" s="21">
        <f>IF(Source!BA317&lt;&gt; 0, Source!BA317, 1)</f>
        <v>30.1</v>
      </c>
      <c r="K609" s="24">
        <f>Source!S317</f>
        <v>2090.4499999999998</v>
      </c>
      <c r="W609">
        <f>I609</f>
        <v>69.45</v>
      </c>
    </row>
    <row r="610" spans="1:35" ht="14.25" x14ac:dyDescent="0.2">
      <c r="A610" s="20"/>
      <c r="B610" s="20"/>
      <c r="C610" s="20" t="s">
        <v>1016</v>
      </c>
      <c r="D610" s="22"/>
      <c r="E610" s="21"/>
      <c r="F610" s="24">
        <f>Source!AM317</f>
        <v>14.13</v>
      </c>
      <c r="G610" s="23" t="str">
        <f>Source!DE317</f>
        <v>)*1,25</v>
      </c>
      <c r="H610" s="21">
        <f>Source!AV317</f>
        <v>1</v>
      </c>
      <c r="I610" s="24">
        <f>(ROUND((ROUND((((Source!ET317*1.25))*Source!AV317*Source!I317),2)),2)+ROUND((ROUND(((Source!AE317-((Source!EU317*1.25)))*Source!AV317*Source!I317),2)),2))</f>
        <v>4.7699999999999996</v>
      </c>
      <c r="J610" s="21">
        <f>IF(Source!BB317&lt;&gt; 0, Source!BB317, 1)</f>
        <v>12.09</v>
      </c>
      <c r="K610" s="24">
        <f>Source!Q317</f>
        <v>57.67</v>
      </c>
    </row>
    <row r="611" spans="1:35" ht="14.25" x14ac:dyDescent="0.2">
      <c r="A611" s="20"/>
      <c r="B611" s="20"/>
      <c r="C611" s="20" t="s">
        <v>1017</v>
      </c>
      <c r="D611" s="22"/>
      <c r="E611" s="21"/>
      <c r="F611" s="24">
        <f>Source!AN317</f>
        <v>2.15</v>
      </c>
      <c r="G611" s="23" t="str">
        <f>Source!DF317</f>
        <v>)*1,25</v>
      </c>
      <c r="H611" s="21">
        <f>Source!AV317</f>
        <v>1</v>
      </c>
      <c r="I611" s="32">
        <f>ROUND((ROUND((Source!AE317*Source!AV317*Source!I317),2)),2)</f>
        <v>0.73</v>
      </c>
      <c r="J611" s="21">
        <f>IF(Source!BS317&lt;&gt; 0, Source!BS317, 1)</f>
        <v>30.1</v>
      </c>
      <c r="K611" s="32">
        <f>Source!R317</f>
        <v>21.97</v>
      </c>
      <c r="W611">
        <f>I611</f>
        <v>0.73</v>
      </c>
    </row>
    <row r="612" spans="1:35" ht="14.25" x14ac:dyDescent="0.2">
      <c r="A612" s="20"/>
      <c r="B612" s="20"/>
      <c r="C612" s="20" t="s">
        <v>1019</v>
      </c>
      <c r="D612" s="22"/>
      <c r="E612" s="21"/>
      <c r="F612" s="24">
        <f>Source!AL317</f>
        <v>1858.71</v>
      </c>
      <c r="G612" s="23" t="str">
        <f>Source!DD317</f>
        <v/>
      </c>
      <c r="H612" s="21">
        <f>Source!AW317</f>
        <v>1</v>
      </c>
      <c r="I612" s="24">
        <f>ROUND((ROUND((Source!AC317*Source!AW317*Source!I317),2)),2)</f>
        <v>501.85</v>
      </c>
      <c r="J612" s="21">
        <f>IF(Source!BC317&lt;&gt; 0, Source!BC317, 1)</f>
        <v>4.9000000000000004</v>
      </c>
      <c r="K612" s="24">
        <f>Source!P317</f>
        <v>2459.0700000000002</v>
      </c>
    </row>
    <row r="613" spans="1:35" ht="57" x14ac:dyDescent="0.2">
      <c r="A613" s="20" t="s">
        <v>590</v>
      </c>
      <c r="B613" s="20" t="str">
        <f>Source!F318</f>
        <v>1.9-12-115</v>
      </c>
      <c r="C613" s="20" t="s">
        <v>592</v>
      </c>
      <c r="D613" s="22" t="str">
        <f>Source!H318</f>
        <v>м</v>
      </c>
      <c r="E613" s="21">
        <f>Source!I318</f>
        <v>27</v>
      </c>
      <c r="F613" s="24">
        <f>Source!AK318</f>
        <v>156.88</v>
      </c>
      <c r="G613" s="33" t="s">
        <v>3</v>
      </c>
      <c r="H613" s="21">
        <f>Source!AW318</f>
        <v>1</v>
      </c>
      <c r="I613" s="24">
        <f>ROUND((ROUND((Source!AC318*Source!AW318*Source!I318),2)),2)+(ROUND((ROUND(((Source!ET318)*Source!AV318*Source!I318),2)),2)+ROUND((ROUND(((Source!AE318-(Source!EU318))*Source!AV318*Source!I318),2)),2))+ROUND((ROUND((Source!AF318*Source!AV318*Source!I318),2)),2)</f>
        <v>4235.76</v>
      </c>
      <c r="J613" s="21">
        <f>IF(Source!BC318&lt;&gt; 0, Source!BC318, 1)</f>
        <v>3.05</v>
      </c>
      <c r="K613" s="24">
        <f>Source!O318</f>
        <v>12919.07</v>
      </c>
      <c r="Q613">
        <f>ROUND((Source!DN318/100)*ROUND((ROUND((Source!AF318*Source!AV318*Source!I318),2)),2), 2)</f>
        <v>0</v>
      </c>
      <c r="R613">
        <f>Source!X318</f>
        <v>0</v>
      </c>
      <c r="S613">
        <f>ROUND((Source!DO318/100)*ROUND((ROUND((Source!AF318*Source!AV318*Source!I318),2)),2), 2)</f>
        <v>0</v>
      </c>
      <c r="T613">
        <f>Source!Y318</f>
        <v>0</v>
      </c>
      <c r="U613">
        <f>ROUND((175/100)*ROUND((ROUND((Source!AE318*Source!AV318*Source!I318),2)),2), 2)</f>
        <v>0</v>
      </c>
      <c r="V613">
        <f>ROUND((160/100)*ROUND(ROUND((ROUND((Source!AE318*Source!AV318*Source!I318),2)*Source!BS318),2), 2), 2)</f>
        <v>0</v>
      </c>
      <c r="X613">
        <f>IF(Source!BI318&lt;=1,I613, 0)</f>
        <v>4235.76</v>
      </c>
      <c r="Y613">
        <f>IF(Source!BI318=2,I613, 0)</f>
        <v>0</v>
      </c>
      <c r="Z613">
        <f>IF(Source!BI318=3,I613, 0)</f>
        <v>0</v>
      </c>
      <c r="AA613">
        <f>IF(Source!BI318=4,I613, 0)</f>
        <v>0</v>
      </c>
      <c r="AI613">
        <v>3</v>
      </c>
    </row>
    <row r="614" spans="1:35" ht="42.75" x14ac:dyDescent="0.2">
      <c r="A614" s="20" t="s">
        <v>594</v>
      </c>
      <c r="B614" s="20" t="str">
        <f>Source!F319</f>
        <v>1.9-12-112</v>
      </c>
      <c r="C614" s="20" t="s">
        <v>596</v>
      </c>
      <c r="D614" s="22" t="str">
        <f>Source!H319</f>
        <v>шт.</v>
      </c>
      <c r="E614" s="21">
        <f>Source!I319</f>
        <v>36</v>
      </c>
      <c r="F614" s="24">
        <f>Source!AK319</f>
        <v>10.42</v>
      </c>
      <c r="G614" s="33" t="s">
        <v>3</v>
      </c>
      <c r="H614" s="21">
        <f>Source!AW319</f>
        <v>1</v>
      </c>
      <c r="I614" s="24">
        <f>ROUND((ROUND((Source!AC319*Source!AW319*Source!I319),2)),2)+(ROUND((ROUND(((Source!ET319)*Source!AV319*Source!I319),2)),2)+ROUND((ROUND(((Source!AE319-(Source!EU319))*Source!AV319*Source!I319),2)),2))+ROUND((ROUND((Source!AF319*Source!AV319*Source!I319),2)),2)</f>
        <v>375.12</v>
      </c>
      <c r="J614" s="21">
        <f>IF(Source!BC319&lt;&gt; 0, Source!BC319, 1)</f>
        <v>4.3499999999999996</v>
      </c>
      <c r="K614" s="24">
        <f>Source!O319</f>
        <v>1631.77</v>
      </c>
      <c r="Q614">
        <f>ROUND((Source!DN319/100)*ROUND((ROUND((Source!AF319*Source!AV319*Source!I319),2)),2), 2)</f>
        <v>0</v>
      </c>
      <c r="R614">
        <f>Source!X319</f>
        <v>0</v>
      </c>
      <c r="S614">
        <f>ROUND((Source!DO319/100)*ROUND((ROUND((Source!AF319*Source!AV319*Source!I319),2)),2), 2)</f>
        <v>0</v>
      </c>
      <c r="T614">
        <f>Source!Y319</f>
        <v>0</v>
      </c>
      <c r="U614">
        <f>ROUND((175/100)*ROUND((ROUND((Source!AE319*Source!AV319*Source!I319),2)),2), 2)</f>
        <v>0</v>
      </c>
      <c r="V614">
        <f>ROUND((160/100)*ROUND(ROUND((ROUND((Source!AE319*Source!AV319*Source!I319),2)*Source!BS319),2), 2), 2)</f>
        <v>0</v>
      </c>
      <c r="X614">
        <f>IF(Source!BI319&lt;=1,I614, 0)</f>
        <v>375.12</v>
      </c>
      <c r="Y614">
        <f>IF(Source!BI319=2,I614, 0)</f>
        <v>0</v>
      </c>
      <c r="Z614">
        <f>IF(Source!BI319=3,I614, 0)</f>
        <v>0</v>
      </c>
      <c r="AA614">
        <f>IF(Source!BI319=4,I614, 0)</f>
        <v>0</v>
      </c>
      <c r="AI614">
        <v>3</v>
      </c>
    </row>
    <row r="615" spans="1:35" ht="14.25" x14ac:dyDescent="0.2">
      <c r="A615" s="20"/>
      <c r="B615" s="20"/>
      <c r="C615" s="20" t="s">
        <v>1010</v>
      </c>
      <c r="D615" s="22" t="s">
        <v>1011</v>
      </c>
      <c r="E615" s="21">
        <f>Source!DN317</f>
        <v>105</v>
      </c>
      <c r="F615" s="24"/>
      <c r="G615" s="23"/>
      <c r="H615" s="21"/>
      <c r="I615" s="24">
        <f>SUM(Q607:Q614)</f>
        <v>72.92</v>
      </c>
      <c r="J615" s="21">
        <f>Source!BZ317</f>
        <v>87</v>
      </c>
      <c r="K615" s="24">
        <f>SUM(R607:R614)</f>
        <v>1818.69</v>
      </c>
    </row>
    <row r="616" spans="1:35" ht="14.25" x14ac:dyDescent="0.2">
      <c r="A616" s="20"/>
      <c r="B616" s="20"/>
      <c r="C616" s="20" t="s">
        <v>1012</v>
      </c>
      <c r="D616" s="22" t="s">
        <v>1011</v>
      </c>
      <c r="E616" s="21">
        <f>Source!DO317</f>
        <v>70</v>
      </c>
      <c r="F616" s="24"/>
      <c r="G616" s="23"/>
      <c r="H616" s="21"/>
      <c r="I616" s="24">
        <f>SUM(S607:S615)</f>
        <v>48.62</v>
      </c>
      <c r="J616" s="21">
        <f>Source!CA317</f>
        <v>41</v>
      </c>
      <c r="K616" s="24">
        <f>SUM(T607:T615)</f>
        <v>857.08</v>
      </c>
    </row>
    <row r="617" spans="1:35" ht="14.25" x14ac:dyDescent="0.2">
      <c r="A617" s="20"/>
      <c r="B617" s="20"/>
      <c r="C617" s="20" t="s">
        <v>1018</v>
      </c>
      <c r="D617" s="22" t="s">
        <v>1011</v>
      </c>
      <c r="E617" s="21">
        <f>175</f>
        <v>175</v>
      </c>
      <c r="F617" s="24"/>
      <c r="G617" s="23"/>
      <c r="H617" s="21"/>
      <c r="I617" s="24">
        <f>SUM(U607:U616)</f>
        <v>1.28</v>
      </c>
      <c r="J617" s="21">
        <f>160</f>
        <v>160</v>
      </c>
      <c r="K617" s="24">
        <f>SUM(V607:V616)</f>
        <v>35.15</v>
      </c>
    </row>
    <row r="618" spans="1:35" ht="14.25" x14ac:dyDescent="0.2">
      <c r="A618" s="26"/>
      <c r="B618" s="26"/>
      <c r="C618" s="26" t="s">
        <v>1013</v>
      </c>
      <c r="D618" s="27" t="s">
        <v>1014</v>
      </c>
      <c r="E618" s="28">
        <f>Source!AQ317</f>
        <v>19.5</v>
      </c>
      <c r="F618" s="29"/>
      <c r="G618" s="30" t="str">
        <f>Source!DI317</f>
        <v>)*1,15</v>
      </c>
      <c r="H618" s="28">
        <f>Source!AV317</f>
        <v>1</v>
      </c>
      <c r="I618" s="29">
        <f>Source!U317</f>
        <v>6.0547499999999994</v>
      </c>
      <c r="J618" s="28"/>
      <c r="K618" s="29"/>
      <c r="AB618" s="25">
        <f>I618</f>
        <v>6.0547499999999994</v>
      </c>
    </row>
    <row r="619" spans="1:35" ht="15" x14ac:dyDescent="0.25">
      <c r="C619" s="13" t="s">
        <v>1015</v>
      </c>
      <c r="H619" s="50">
        <f>I609+I610+I612+I615+I616+I617+SUM(I613:I614)</f>
        <v>5309.77</v>
      </c>
      <c r="I619" s="50"/>
      <c r="J619" s="50">
        <f>K609+K610+K612+K615+K616+K617+SUM(K613:K614)</f>
        <v>21868.95</v>
      </c>
      <c r="K619" s="50"/>
      <c r="O619" s="25">
        <f>I609+I610+I612+I615+I616+I617+SUM(I613:I614)</f>
        <v>5309.77</v>
      </c>
      <c r="P619" s="25">
        <f>K609+K610+K612+K615+K616+K617+SUM(K613:K614)</f>
        <v>21868.95</v>
      </c>
      <c r="X619">
        <f>IF(Source!BI317&lt;=1,I609+I610+I612+I615+I616+I617-0, 0)</f>
        <v>698.89</v>
      </c>
      <c r="Y619">
        <f>IF(Source!BI317=2,I609+I610+I612+I615+I616+I617-0, 0)</f>
        <v>0</v>
      </c>
      <c r="Z619">
        <f>IF(Source!BI317=3,I609+I610+I612+I615+I616+I617-0, 0)</f>
        <v>0</v>
      </c>
      <c r="AA619">
        <f>IF(Source!BI317=4,I609+I610+I612+I615+I616+I617,0)</f>
        <v>0</v>
      </c>
    </row>
    <row r="621" spans="1:35" ht="57" x14ac:dyDescent="0.2">
      <c r="A621" s="20">
        <v>46</v>
      </c>
      <c r="B621" s="20" t="str">
        <f>Source!F320</f>
        <v>6.61-7-1</v>
      </c>
      <c r="C621" s="20" t="s">
        <v>551</v>
      </c>
      <c r="D621" s="22" t="str">
        <f>Source!H320</f>
        <v>100 м2</v>
      </c>
      <c r="E621" s="21">
        <f>Source!I320</f>
        <v>0.15</v>
      </c>
      <c r="F621" s="24"/>
      <c r="G621" s="23"/>
      <c r="H621" s="21"/>
      <c r="I621" s="24"/>
      <c r="J621" s="21"/>
      <c r="K621" s="24"/>
      <c r="Q621">
        <f>ROUND((Source!DN320/100)*ROUND((ROUND((Source!AF320*Source!AV320*Source!I320),2)),2), 2)</f>
        <v>679.49</v>
      </c>
      <c r="R621">
        <f>Source!X320</f>
        <v>16975.7</v>
      </c>
      <c r="S621">
        <f>ROUND((Source!DO320/100)*ROUND((ROUND((Source!AF320*Source!AV320*Source!I320),2)),2), 2)</f>
        <v>434.87</v>
      </c>
      <c r="T621">
        <f>Source!Y320</f>
        <v>8385.59</v>
      </c>
      <c r="U621">
        <f>ROUND((175/100)*ROUND((ROUND((Source!AE320*Source!AV320*Source!I320),2)),2), 2)</f>
        <v>0</v>
      </c>
      <c r="V621">
        <f>ROUND((160/100)*ROUND(ROUND((ROUND((Source!AE320*Source!AV320*Source!I320),2)*Source!BS320),2), 2), 2)</f>
        <v>0</v>
      </c>
      <c r="AI621">
        <v>0</v>
      </c>
    </row>
    <row r="622" spans="1:35" x14ac:dyDescent="0.2">
      <c r="C622" s="31" t="str">
        <f>"Объем: "&amp;Source!I320&amp;"=15/"&amp;"100"</f>
        <v>Объем: 0,15=15/100</v>
      </c>
    </row>
    <row r="623" spans="1:35" ht="14.25" x14ac:dyDescent="0.2">
      <c r="A623" s="20"/>
      <c r="B623" s="20"/>
      <c r="C623" s="20" t="s">
        <v>1009</v>
      </c>
      <c r="D623" s="22"/>
      <c r="E623" s="21"/>
      <c r="F623" s="24">
        <f>Source!AO320</f>
        <v>4529.95</v>
      </c>
      <c r="G623" s="23" t="str">
        <f>Source!DG320</f>
        <v/>
      </c>
      <c r="H623" s="21">
        <f>Source!AV320</f>
        <v>1</v>
      </c>
      <c r="I623" s="24">
        <f>ROUND((ROUND((Source!AF320*Source!AV320*Source!I320),2)),2)</f>
        <v>679.49</v>
      </c>
      <c r="J623" s="21">
        <f>IF(Source!BA320&lt;&gt; 0, Source!BA320, 1)</f>
        <v>30.1</v>
      </c>
      <c r="K623" s="24">
        <f>Source!S320</f>
        <v>20452.650000000001</v>
      </c>
      <c r="W623">
        <f>I623</f>
        <v>679.49</v>
      </c>
    </row>
    <row r="624" spans="1:35" ht="28.5" x14ac:dyDescent="0.2">
      <c r="A624" s="20" t="s">
        <v>599</v>
      </c>
      <c r="B624" s="20" t="str">
        <f>Source!F321</f>
        <v>1.3-2-13</v>
      </c>
      <c r="C624" s="20" t="s">
        <v>79</v>
      </c>
      <c r="D624" s="22" t="str">
        <f>Source!H321</f>
        <v>м3</v>
      </c>
      <c r="E624" s="21">
        <f>Source!I321</f>
        <v>0.66</v>
      </c>
      <c r="F624" s="24">
        <f>Source!AK321</f>
        <v>481.69</v>
      </c>
      <c r="G624" s="33" t="s">
        <v>3</v>
      </c>
      <c r="H624" s="21">
        <f>Source!AW321</f>
        <v>1</v>
      </c>
      <c r="I624" s="24">
        <f>ROUND((ROUND((Source!AC321*Source!AW321*Source!I321),2)),2)+(ROUND((ROUND(((Source!ET321)*Source!AV321*Source!I321),2)),2)+ROUND((ROUND(((Source!AE321-(Source!EU321))*Source!AV321*Source!I321),2)),2))+ROUND((ROUND((Source!AF321*Source!AV321*Source!I321),2)),2)</f>
        <v>317.92</v>
      </c>
      <c r="J624" s="21">
        <f>IF(Source!BC321&lt;&gt; 0, Source!BC321, 1)</f>
        <v>9.43</v>
      </c>
      <c r="K624" s="24">
        <f>Source!O321</f>
        <v>2997.99</v>
      </c>
      <c r="Q624">
        <f>ROUND((Source!DN321/100)*ROUND((ROUND((Source!AF321*Source!AV321*Source!I321),2)),2), 2)</f>
        <v>0</v>
      </c>
      <c r="R624">
        <f>Source!X321</f>
        <v>0</v>
      </c>
      <c r="S624">
        <f>ROUND((Source!DO321/100)*ROUND((ROUND((Source!AF321*Source!AV321*Source!I321),2)),2), 2)</f>
        <v>0</v>
      </c>
      <c r="T624">
        <f>Source!Y321</f>
        <v>0</v>
      </c>
      <c r="U624">
        <f>ROUND((175/100)*ROUND((ROUND((Source!AE321*Source!AV321*Source!I321),2)),2), 2)</f>
        <v>0</v>
      </c>
      <c r="V624">
        <f>ROUND((160/100)*ROUND(ROUND((ROUND((Source!AE321*Source!AV321*Source!I321),2)*Source!BS321),2), 2), 2)</f>
        <v>0</v>
      </c>
      <c r="X624">
        <f>IF(Source!BI321&lt;=1,I624, 0)</f>
        <v>317.92</v>
      </c>
      <c r="Y624">
        <f>IF(Source!BI321=2,I624, 0)</f>
        <v>0</v>
      </c>
      <c r="Z624">
        <f>IF(Source!BI321=3,I624, 0)</f>
        <v>0</v>
      </c>
      <c r="AA624">
        <f>IF(Source!BI321=4,I624, 0)</f>
        <v>0</v>
      </c>
      <c r="AI624">
        <v>3</v>
      </c>
    </row>
    <row r="625" spans="1:35" ht="14.25" x14ac:dyDescent="0.2">
      <c r="A625" s="20"/>
      <c r="B625" s="20"/>
      <c r="C625" s="20" t="s">
        <v>1010</v>
      </c>
      <c r="D625" s="22" t="s">
        <v>1011</v>
      </c>
      <c r="E625" s="21">
        <f>Source!DN320</f>
        <v>100</v>
      </c>
      <c r="F625" s="24"/>
      <c r="G625" s="23"/>
      <c r="H625" s="21"/>
      <c r="I625" s="24">
        <f>SUM(Q621:Q624)</f>
        <v>679.49</v>
      </c>
      <c r="J625" s="21">
        <f>Source!BZ320</f>
        <v>83</v>
      </c>
      <c r="K625" s="24">
        <f>SUM(R621:R624)</f>
        <v>16975.7</v>
      </c>
    </row>
    <row r="626" spans="1:35" ht="14.25" x14ac:dyDescent="0.2">
      <c r="A626" s="20"/>
      <c r="B626" s="20"/>
      <c r="C626" s="20" t="s">
        <v>1012</v>
      </c>
      <c r="D626" s="22" t="s">
        <v>1011</v>
      </c>
      <c r="E626" s="21">
        <f>Source!DO320</f>
        <v>64</v>
      </c>
      <c r="F626" s="24"/>
      <c r="G626" s="23"/>
      <c r="H626" s="21"/>
      <c r="I626" s="24">
        <f>SUM(S621:S625)</f>
        <v>434.87</v>
      </c>
      <c r="J626" s="21">
        <f>Source!CA320</f>
        <v>41</v>
      </c>
      <c r="K626" s="24">
        <f>SUM(T621:T625)</f>
        <v>8385.59</v>
      </c>
    </row>
    <row r="627" spans="1:35" ht="14.25" x14ac:dyDescent="0.2">
      <c r="A627" s="26"/>
      <c r="B627" s="26"/>
      <c r="C627" s="26" t="s">
        <v>1013</v>
      </c>
      <c r="D627" s="27" t="s">
        <v>1014</v>
      </c>
      <c r="E627" s="28">
        <f>Source!AQ320</f>
        <v>385.2</v>
      </c>
      <c r="F627" s="29"/>
      <c r="G627" s="30" t="str">
        <f>Source!DI320</f>
        <v/>
      </c>
      <c r="H627" s="28">
        <f>Source!AV320</f>
        <v>1</v>
      </c>
      <c r="I627" s="29">
        <f>Source!U320</f>
        <v>57.779999999999994</v>
      </c>
      <c r="J627" s="28"/>
      <c r="K627" s="29"/>
      <c r="AB627" s="25">
        <f>I627</f>
        <v>57.779999999999994</v>
      </c>
    </row>
    <row r="628" spans="1:35" ht="15" x14ac:dyDescent="0.25">
      <c r="C628" s="13" t="s">
        <v>1015</v>
      </c>
      <c r="H628" s="50">
        <f>I623+I625+I626+SUM(I624:I624)</f>
        <v>2111.77</v>
      </c>
      <c r="I628" s="50"/>
      <c r="J628" s="50">
        <f>K623+K625+K626+SUM(K624:K624)</f>
        <v>48811.93</v>
      </c>
      <c r="K628" s="50"/>
      <c r="O628" s="25">
        <f>I623+I625+I626+SUM(I624:I624)</f>
        <v>2111.77</v>
      </c>
      <c r="P628" s="25">
        <f>K623+K625+K626+SUM(K624:K624)</f>
        <v>48811.93</v>
      </c>
      <c r="X628">
        <f>IF(Source!BI320&lt;=1,I623+I625+I626-0, 0)</f>
        <v>1793.85</v>
      </c>
      <c r="Y628">
        <f>IF(Source!BI320=2,I623+I625+I626-0, 0)</f>
        <v>0</v>
      </c>
      <c r="Z628">
        <f>IF(Source!BI320=3,I623+I625+I626-0, 0)</f>
        <v>0</v>
      </c>
      <c r="AA628">
        <f>IF(Source!BI320=4,I623+I625+I626,0)</f>
        <v>0</v>
      </c>
    </row>
    <row r="630" spans="1:35" ht="42.75" x14ac:dyDescent="0.2">
      <c r="A630" s="20">
        <v>47</v>
      </c>
      <c r="B630" s="20" t="str">
        <f>Source!F322</f>
        <v>3.15-176-2</v>
      </c>
      <c r="C630" s="20" t="s">
        <v>293</v>
      </c>
      <c r="D630" s="22" t="str">
        <f>Source!H322</f>
        <v>100 м2</v>
      </c>
      <c r="E630" s="21">
        <f>Source!I322</f>
        <v>0.15</v>
      </c>
      <c r="F630" s="24"/>
      <c r="G630" s="23"/>
      <c r="H630" s="21"/>
      <c r="I630" s="24"/>
      <c r="J630" s="21"/>
      <c r="K630" s="24"/>
      <c r="Q630">
        <f>ROUND((Source!DN322/100)*ROUND((ROUND((Source!AF322*Source!AV322*Source!I322),2)),2), 2)</f>
        <v>86.19</v>
      </c>
      <c r="R630">
        <f>Source!X322</f>
        <v>2153.29</v>
      </c>
      <c r="S630">
        <f>ROUND((Source!DO322/100)*ROUND((ROUND((Source!AF322*Source!AV322*Source!I322),2)),2), 2)</f>
        <v>55.16</v>
      </c>
      <c r="T630">
        <f>Source!Y322</f>
        <v>1063.67</v>
      </c>
      <c r="U630">
        <f>ROUND((175/100)*ROUND((ROUND((Source!AE322*Source!AV322*Source!I322),2)),2), 2)</f>
        <v>0.61</v>
      </c>
      <c r="V630">
        <f>ROUND((160/100)*ROUND(ROUND((ROUND((Source!AE322*Source!AV322*Source!I322),2)*Source!BS322),2), 2), 2)</f>
        <v>16.86</v>
      </c>
      <c r="AI630">
        <v>0</v>
      </c>
    </row>
    <row r="631" spans="1:35" x14ac:dyDescent="0.2">
      <c r="C631" s="31" t="str">
        <f>"Объем: "&amp;Source!I322&amp;"=15/"&amp;"100"</f>
        <v>Объем: 0,15=15/100</v>
      </c>
    </row>
    <row r="632" spans="1:35" ht="14.25" x14ac:dyDescent="0.2">
      <c r="A632" s="20"/>
      <c r="B632" s="20"/>
      <c r="C632" s="20" t="s">
        <v>1009</v>
      </c>
      <c r="D632" s="22"/>
      <c r="E632" s="21"/>
      <c r="F632" s="24">
        <f>Source!AO322</f>
        <v>499.63</v>
      </c>
      <c r="G632" s="23" t="str">
        <f>Source!DG322</f>
        <v>)*1,15</v>
      </c>
      <c r="H632" s="21">
        <f>Source!AV322</f>
        <v>1</v>
      </c>
      <c r="I632" s="24">
        <f>ROUND((ROUND((Source!AF322*Source!AV322*Source!I322),2)),2)</f>
        <v>86.19</v>
      </c>
      <c r="J632" s="21">
        <f>IF(Source!BA322&lt;&gt; 0, Source!BA322, 1)</f>
        <v>30.1</v>
      </c>
      <c r="K632" s="24">
        <f>Source!S322</f>
        <v>2594.3200000000002</v>
      </c>
      <c r="W632">
        <f>I632</f>
        <v>86.19</v>
      </c>
    </row>
    <row r="633" spans="1:35" ht="14.25" x14ac:dyDescent="0.2">
      <c r="A633" s="20"/>
      <c r="B633" s="20"/>
      <c r="C633" s="20" t="s">
        <v>1016</v>
      </c>
      <c r="D633" s="22"/>
      <c r="E633" s="21"/>
      <c r="F633" s="24">
        <f>Source!AM322</f>
        <v>12.47</v>
      </c>
      <c r="G633" s="23" t="str">
        <f>Source!DE322</f>
        <v>)*1,25</v>
      </c>
      <c r="H633" s="21">
        <f>Source!AV322</f>
        <v>1</v>
      </c>
      <c r="I633" s="24">
        <f>(ROUND((ROUND((((Source!ET322*1.25))*Source!AV322*Source!I322),2)),2)+ROUND((ROUND(((Source!AE322-((Source!EU322*1.25)))*Source!AV322*Source!I322),2)),2))</f>
        <v>2.34</v>
      </c>
      <c r="J633" s="21">
        <f>IF(Source!BB322&lt;&gt; 0, Source!BB322, 1)</f>
        <v>12.09</v>
      </c>
      <c r="K633" s="24">
        <f>Source!Q322</f>
        <v>28.29</v>
      </c>
    </row>
    <row r="634" spans="1:35" ht="14.25" x14ac:dyDescent="0.2">
      <c r="A634" s="20"/>
      <c r="B634" s="20"/>
      <c r="C634" s="20" t="s">
        <v>1017</v>
      </c>
      <c r="D634" s="22"/>
      <c r="E634" s="21"/>
      <c r="F634" s="24">
        <f>Source!AN322</f>
        <v>1.89</v>
      </c>
      <c r="G634" s="23" t="str">
        <f>Source!DF322</f>
        <v>)*1,25</v>
      </c>
      <c r="H634" s="21">
        <f>Source!AV322</f>
        <v>1</v>
      </c>
      <c r="I634" s="32">
        <f>ROUND((ROUND((Source!AE322*Source!AV322*Source!I322),2)),2)</f>
        <v>0.35</v>
      </c>
      <c r="J634" s="21">
        <f>IF(Source!BS322&lt;&gt; 0, Source!BS322, 1)</f>
        <v>30.1</v>
      </c>
      <c r="K634" s="32">
        <f>Source!R322</f>
        <v>10.54</v>
      </c>
      <c r="W634">
        <f>I634</f>
        <v>0.35</v>
      </c>
    </row>
    <row r="635" spans="1:35" ht="14.25" x14ac:dyDescent="0.2">
      <c r="A635" s="20"/>
      <c r="B635" s="20"/>
      <c r="C635" s="20" t="s">
        <v>1019</v>
      </c>
      <c r="D635" s="22"/>
      <c r="E635" s="21"/>
      <c r="F635" s="24">
        <f>Source!AL322</f>
        <v>799.49</v>
      </c>
      <c r="G635" s="23" t="str">
        <f>Source!DD322</f>
        <v/>
      </c>
      <c r="H635" s="21">
        <f>Source!AW322</f>
        <v>1</v>
      </c>
      <c r="I635" s="24">
        <f>ROUND((ROUND((Source!AC322*Source!AW322*Source!I322),2)),2)</f>
        <v>119.92</v>
      </c>
      <c r="J635" s="21">
        <f>IF(Source!BC322&lt;&gt; 0, Source!BC322, 1)</f>
        <v>3</v>
      </c>
      <c r="K635" s="24">
        <f>Source!P322</f>
        <v>359.76</v>
      </c>
    </row>
    <row r="636" spans="1:35" ht="57" x14ac:dyDescent="0.2">
      <c r="A636" s="20" t="s">
        <v>601</v>
      </c>
      <c r="B636" s="20" t="str">
        <f>Source!F323</f>
        <v>1.1-1-3552</v>
      </c>
      <c r="C636" s="20" t="s">
        <v>603</v>
      </c>
      <c r="D636" s="22" t="str">
        <f>Source!H323</f>
        <v>л</v>
      </c>
      <c r="E636" s="21">
        <f>Source!I323</f>
        <v>2.2999999999999998</v>
      </c>
      <c r="F636" s="24">
        <f>Source!AK323</f>
        <v>40.17</v>
      </c>
      <c r="G636" s="33" t="s">
        <v>3</v>
      </c>
      <c r="H636" s="21">
        <f>Source!AW323</f>
        <v>1</v>
      </c>
      <c r="I636" s="24">
        <f>ROUND((ROUND((Source!AC323*Source!AW323*Source!I323),2)),2)+(ROUND((ROUND(((Source!ET323)*Source!AV323*Source!I323),2)),2)+ROUND((ROUND(((Source!AE323-(Source!EU323))*Source!AV323*Source!I323),2)),2))+ROUND((ROUND((Source!AF323*Source!AV323*Source!I323),2)),2)</f>
        <v>92.39</v>
      </c>
      <c r="J636" s="21">
        <f>IF(Source!BC323&lt;&gt; 0, Source!BC323, 1)</f>
        <v>2.75</v>
      </c>
      <c r="K636" s="24">
        <f>Source!O323</f>
        <v>254.07</v>
      </c>
      <c r="Q636">
        <f>ROUND((Source!DN323/100)*ROUND((ROUND((Source!AF323*Source!AV323*Source!I323),2)),2), 2)</f>
        <v>0</v>
      </c>
      <c r="R636">
        <f>Source!X323</f>
        <v>0</v>
      </c>
      <c r="S636">
        <f>ROUND((Source!DO323/100)*ROUND((ROUND((Source!AF323*Source!AV323*Source!I323),2)),2), 2)</f>
        <v>0</v>
      </c>
      <c r="T636">
        <f>Source!Y323</f>
        <v>0</v>
      </c>
      <c r="U636">
        <f>ROUND((175/100)*ROUND((ROUND((Source!AE323*Source!AV323*Source!I323),2)),2), 2)</f>
        <v>0</v>
      </c>
      <c r="V636">
        <f>ROUND((160/100)*ROUND(ROUND((ROUND((Source!AE323*Source!AV323*Source!I323),2)*Source!BS323),2), 2), 2)</f>
        <v>0</v>
      </c>
      <c r="X636">
        <f>IF(Source!BI323&lt;=1,I636, 0)</f>
        <v>92.39</v>
      </c>
      <c r="Y636">
        <f>IF(Source!BI323=2,I636, 0)</f>
        <v>0</v>
      </c>
      <c r="Z636">
        <f>IF(Source!BI323=3,I636, 0)</f>
        <v>0</v>
      </c>
      <c r="AA636">
        <f>IF(Source!BI323=4,I636, 0)</f>
        <v>0</v>
      </c>
      <c r="AI636">
        <v>3</v>
      </c>
    </row>
    <row r="637" spans="1:35" ht="213.75" x14ac:dyDescent="0.2">
      <c r="A637" s="20" t="s">
        <v>605</v>
      </c>
      <c r="B637" s="20" t="str">
        <f>Source!F324</f>
        <v>1.1-1-3932</v>
      </c>
      <c r="C637" s="20" t="s">
        <v>976</v>
      </c>
      <c r="D637" s="22" t="str">
        <f>Source!H324</f>
        <v>кг</v>
      </c>
      <c r="E637" s="21">
        <f>Source!I324</f>
        <v>4.5</v>
      </c>
      <c r="F637" s="24">
        <f>Source!AK324</f>
        <v>108.25</v>
      </c>
      <c r="G637" s="33" t="s">
        <v>3</v>
      </c>
      <c r="H637" s="21">
        <f>Source!AW324</f>
        <v>1</v>
      </c>
      <c r="I637" s="24">
        <f>ROUND((ROUND((Source!AC324*Source!AW324*Source!I324),2)),2)+(ROUND((ROUND(((Source!ET324)*Source!AV324*Source!I324),2)),2)+ROUND((ROUND(((Source!AE324-(Source!EU324))*Source!AV324*Source!I324),2)),2))+ROUND((ROUND((Source!AF324*Source!AV324*Source!I324),2)),2)</f>
        <v>487.13</v>
      </c>
      <c r="J637" s="21">
        <f>IF(Source!BC324&lt;&gt; 0, Source!BC324, 1)</f>
        <v>4.74</v>
      </c>
      <c r="K637" s="24">
        <f>Source!O324</f>
        <v>2309</v>
      </c>
      <c r="Q637">
        <f>ROUND((Source!DN324/100)*ROUND((ROUND((Source!AF324*Source!AV324*Source!I324),2)),2), 2)</f>
        <v>0</v>
      </c>
      <c r="R637">
        <f>Source!X324</f>
        <v>0</v>
      </c>
      <c r="S637">
        <f>ROUND((Source!DO324/100)*ROUND((ROUND((Source!AF324*Source!AV324*Source!I324),2)),2), 2)</f>
        <v>0</v>
      </c>
      <c r="T637">
        <f>Source!Y324</f>
        <v>0</v>
      </c>
      <c r="U637">
        <f>ROUND((175/100)*ROUND((ROUND((Source!AE324*Source!AV324*Source!I324),2)),2), 2)</f>
        <v>0</v>
      </c>
      <c r="V637">
        <f>ROUND((160/100)*ROUND(ROUND((ROUND((Source!AE324*Source!AV324*Source!I324),2)*Source!BS324),2), 2), 2)</f>
        <v>0</v>
      </c>
      <c r="X637">
        <f>IF(Source!BI324&lt;=1,I637, 0)</f>
        <v>487.13</v>
      </c>
      <c r="Y637">
        <f>IF(Source!BI324=2,I637, 0)</f>
        <v>0</v>
      </c>
      <c r="Z637">
        <f>IF(Source!BI324=3,I637, 0)</f>
        <v>0</v>
      </c>
      <c r="AA637">
        <f>IF(Source!BI324=4,I637, 0)</f>
        <v>0</v>
      </c>
      <c r="AI637">
        <v>3</v>
      </c>
    </row>
    <row r="638" spans="1:35" ht="14.25" x14ac:dyDescent="0.2">
      <c r="A638" s="20"/>
      <c r="B638" s="20"/>
      <c r="C638" s="20" t="s">
        <v>1010</v>
      </c>
      <c r="D638" s="22" t="s">
        <v>1011</v>
      </c>
      <c r="E638" s="21">
        <f>Source!DN322</f>
        <v>100</v>
      </c>
      <c r="F638" s="24"/>
      <c r="G638" s="23"/>
      <c r="H638" s="21"/>
      <c r="I638" s="24">
        <f>SUM(Q630:Q637)</f>
        <v>86.19</v>
      </c>
      <c r="J638" s="21">
        <f>Source!BZ322</f>
        <v>83</v>
      </c>
      <c r="K638" s="24">
        <f>SUM(R630:R637)</f>
        <v>2153.29</v>
      </c>
    </row>
    <row r="639" spans="1:35" ht="14.25" x14ac:dyDescent="0.2">
      <c r="A639" s="20"/>
      <c r="B639" s="20"/>
      <c r="C639" s="20" t="s">
        <v>1012</v>
      </c>
      <c r="D639" s="22" t="s">
        <v>1011</v>
      </c>
      <c r="E639" s="21">
        <f>Source!DO322</f>
        <v>64</v>
      </c>
      <c r="F639" s="24"/>
      <c r="G639" s="23"/>
      <c r="H639" s="21"/>
      <c r="I639" s="24">
        <f>SUM(S630:S638)</f>
        <v>55.16</v>
      </c>
      <c r="J639" s="21">
        <f>Source!CA322</f>
        <v>41</v>
      </c>
      <c r="K639" s="24">
        <f>SUM(T630:T638)</f>
        <v>1063.67</v>
      </c>
    </row>
    <row r="640" spans="1:35" ht="14.25" x14ac:dyDescent="0.2">
      <c r="A640" s="20"/>
      <c r="B640" s="20"/>
      <c r="C640" s="20" t="s">
        <v>1018</v>
      </c>
      <c r="D640" s="22" t="s">
        <v>1011</v>
      </c>
      <c r="E640" s="21">
        <f>175</f>
        <v>175</v>
      </c>
      <c r="F640" s="24"/>
      <c r="G640" s="23"/>
      <c r="H640" s="21"/>
      <c r="I640" s="24">
        <f>SUM(U630:U639)</f>
        <v>0.61</v>
      </c>
      <c r="J640" s="21">
        <f>160</f>
        <v>160</v>
      </c>
      <c r="K640" s="24">
        <f>SUM(V630:V639)</f>
        <v>16.86</v>
      </c>
    </row>
    <row r="641" spans="1:35" ht="14.25" x14ac:dyDescent="0.2">
      <c r="A641" s="26"/>
      <c r="B641" s="26"/>
      <c r="C641" s="26" t="s">
        <v>1013</v>
      </c>
      <c r="D641" s="27" t="s">
        <v>1014</v>
      </c>
      <c r="E641" s="28">
        <f>Source!AQ322</f>
        <v>43.56</v>
      </c>
      <c r="F641" s="29"/>
      <c r="G641" s="30" t="str">
        <f>Source!DI322</f>
        <v>)*1,15</v>
      </c>
      <c r="H641" s="28">
        <f>Source!AV322</f>
        <v>1</v>
      </c>
      <c r="I641" s="29">
        <f>Source!U322</f>
        <v>7.5141</v>
      </c>
      <c r="J641" s="28"/>
      <c r="K641" s="29"/>
      <c r="AB641" s="25">
        <f>I641</f>
        <v>7.5141</v>
      </c>
    </row>
    <row r="642" spans="1:35" ht="15" x14ac:dyDescent="0.25">
      <c r="C642" s="13" t="s">
        <v>1015</v>
      </c>
      <c r="H642" s="50">
        <f>I632+I633+I635+I638+I639+I640+SUM(I636:I637)</f>
        <v>929.93</v>
      </c>
      <c r="I642" s="50"/>
      <c r="J642" s="50">
        <f>K632+K633+K635+K638+K639+K640+SUM(K636:K637)</f>
        <v>8779.26</v>
      </c>
      <c r="K642" s="50"/>
      <c r="O642" s="25">
        <f>I632+I633+I635+I638+I639+I640+SUM(I636:I637)</f>
        <v>929.93</v>
      </c>
      <c r="P642" s="25">
        <f>K632+K633+K635+K638+K639+K640+SUM(K636:K637)</f>
        <v>8779.26</v>
      </c>
      <c r="X642">
        <f>IF(Source!BI322&lt;=1,I632+I633+I635+I638+I639+I640-0, 0)</f>
        <v>350.40999999999997</v>
      </c>
      <c r="Y642">
        <f>IF(Source!BI322=2,I632+I633+I635+I638+I639+I640-0, 0)</f>
        <v>0</v>
      </c>
      <c r="Z642">
        <f>IF(Source!BI322=3,I632+I633+I635+I638+I639+I640-0, 0)</f>
        <v>0</v>
      </c>
      <c r="AA642">
        <f>IF(Source!BI322=4,I632+I633+I635+I638+I639+I640,0)</f>
        <v>0</v>
      </c>
    </row>
    <row r="645" spans="1:35" ht="15" x14ac:dyDescent="0.25">
      <c r="A645" s="54" t="str">
        <f>CONCATENATE("Итого по разделу: ",IF(Source!G326&lt;&gt;"Новый раздел", Source!G326, ""))</f>
        <v>Итого по разделу: Окна</v>
      </c>
      <c r="B645" s="54"/>
      <c r="C645" s="54"/>
      <c r="D645" s="54"/>
      <c r="E645" s="54"/>
      <c r="F645" s="54"/>
      <c r="G645" s="54"/>
      <c r="H645" s="52">
        <f>SUM(O582:O644)</f>
        <v>93822.910000000018</v>
      </c>
      <c r="I645" s="53"/>
      <c r="J645" s="52">
        <f>SUM(P582:P644)</f>
        <v>301522.69000000006</v>
      </c>
      <c r="K645" s="53"/>
    </row>
    <row r="646" spans="1:35" hidden="1" x14ac:dyDescent="0.2">
      <c r="A646" t="s">
        <v>1020</v>
      </c>
      <c r="H646">
        <f>SUM(AC582:AC645)</f>
        <v>0</v>
      </c>
      <c r="J646">
        <f>SUM(AD582:AD645)</f>
        <v>0</v>
      </c>
    </row>
    <row r="647" spans="1:35" hidden="1" x14ac:dyDescent="0.2">
      <c r="A647" t="s">
        <v>1021</v>
      </c>
      <c r="H647">
        <f>SUM(AE582:AE646)</f>
        <v>0</v>
      </c>
      <c r="J647">
        <f>SUM(AF582:AF646)</f>
        <v>0</v>
      </c>
    </row>
    <row r="649" spans="1:35" ht="16.5" x14ac:dyDescent="0.25">
      <c r="A649" s="43" t="str">
        <f>CONCATENATE("Раздел: ",IF(Source!G356&lt;&gt;"Новый раздел", Source!G356, ""))</f>
        <v>Раздел: Вывоз мусора</v>
      </c>
      <c r="B649" s="43"/>
      <c r="C649" s="43"/>
      <c r="D649" s="43"/>
      <c r="E649" s="43"/>
      <c r="F649" s="43"/>
      <c r="G649" s="43"/>
      <c r="H649" s="43"/>
      <c r="I649" s="43"/>
      <c r="J649" s="43"/>
      <c r="K649" s="43"/>
    </row>
    <row r="650" spans="1:35" ht="42.75" x14ac:dyDescent="0.2">
      <c r="A650" s="20">
        <v>48</v>
      </c>
      <c r="B650" s="20" t="str">
        <f>Source!F360</f>
        <v>6.68-13-1</v>
      </c>
      <c r="C650" s="20" t="s">
        <v>609</v>
      </c>
      <c r="D650" s="22" t="str">
        <f>Source!H360</f>
        <v>1 Т</v>
      </c>
      <c r="E650" s="21">
        <f>Source!I360</f>
        <v>35.338999999999999</v>
      </c>
      <c r="F650" s="24"/>
      <c r="G650" s="23"/>
      <c r="H650" s="21"/>
      <c r="I650" s="24"/>
      <c r="J650" s="21"/>
      <c r="K650" s="24"/>
      <c r="Q650">
        <f>ROUND((Source!DN360/100)*ROUND((ROUND((Source!AF360*Source!AV360*Source!I360),2)),2), 2)</f>
        <v>0</v>
      </c>
      <c r="R650">
        <f>Source!X360</f>
        <v>0</v>
      </c>
      <c r="S650">
        <f>ROUND((Source!DO360/100)*ROUND((ROUND((Source!AF360*Source!AV360*Source!I360),2)),2), 2)</f>
        <v>0</v>
      </c>
      <c r="T650">
        <f>Source!Y360</f>
        <v>0</v>
      </c>
      <c r="U650">
        <f>ROUND((175/100)*ROUND((ROUND((Source!AE360*Source!AV360*Source!I360),2)),2), 2)</f>
        <v>91.53</v>
      </c>
      <c r="V650">
        <f>ROUND((160/100)*ROUND(ROUND((ROUND((Source!AE360*Source!AV360*Source!I360),2)*Source!BS360),2), 2), 2)</f>
        <v>2518.77</v>
      </c>
      <c r="AI650">
        <v>0</v>
      </c>
    </row>
    <row r="651" spans="1:35" ht="14.25" x14ac:dyDescent="0.2">
      <c r="A651" s="20"/>
      <c r="B651" s="20"/>
      <c r="C651" s="20" t="s">
        <v>1016</v>
      </c>
      <c r="D651" s="22"/>
      <c r="E651" s="21"/>
      <c r="F651" s="24">
        <f>Source!AM360</f>
        <v>8.86</v>
      </c>
      <c r="G651" s="23" t="str">
        <f>Source!DE360</f>
        <v/>
      </c>
      <c r="H651" s="21">
        <f>Source!AV360</f>
        <v>1</v>
      </c>
      <c r="I651" s="24">
        <f>(ROUND((ROUND(((Source!ET360)*Source!AV360*Source!I360),2)),2)+ROUND((ROUND(((Source!AE360-(Source!EU360))*Source!AV360*Source!I360),2)),2))</f>
        <v>313.10000000000002</v>
      </c>
      <c r="J651" s="21">
        <f>IF(Source!BB360&lt;&gt; 0, Source!BB360, 1)</f>
        <v>12.72</v>
      </c>
      <c r="K651" s="24">
        <f>Source!Q360</f>
        <v>3982.63</v>
      </c>
    </row>
    <row r="652" spans="1:35" ht="14.25" x14ac:dyDescent="0.2">
      <c r="A652" s="20"/>
      <c r="B652" s="20"/>
      <c r="C652" s="20" t="s">
        <v>1017</v>
      </c>
      <c r="D652" s="22"/>
      <c r="E652" s="21"/>
      <c r="F652" s="24">
        <f>Source!AN360</f>
        <v>1.48</v>
      </c>
      <c r="G652" s="23" t="str">
        <f>Source!DF360</f>
        <v/>
      </c>
      <c r="H652" s="21">
        <f>Source!AV360</f>
        <v>1</v>
      </c>
      <c r="I652" s="32">
        <f>ROUND((ROUND((Source!AE360*Source!AV360*Source!I360),2)),2)</f>
        <v>52.3</v>
      </c>
      <c r="J652" s="21">
        <f>IF(Source!BS360&lt;&gt; 0, Source!BS360, 1)</f>
        <v>30.1</v>
      </c>
      <c r="K652" s="32">
        <f>Source!R360</f>
        <v>1574.23</v>
      </c>
      <c r="W652">
        <f>I652</f>
        <v>52.3</v>
      </c>
    </row>
    <row r="653" spans="1:35" ht="14.25" x14ac:dyDescent="0.2">
      <c r="A653" s="26"/>
      <c r="B653" s="26"/>
      <c r="C653" s="26" t="s">
        <v>1018</v>
      </c>
      <c r="D653" s="27" t="s">
        <v>1011</v>
      </c>
      <c r="E653" s="28">
        <f>175</f>
        <v>175</v>
      </c>
      <c r="F653" s="29"/>
      <c r="G653" s="30"/>
      <c r="H653" s="28"/>
      <c r="I653" s="29">
        <f>SUM(U650:U652)</f>
        <v>91.53</v>
      </c>
      <c r="J653" s="28">
        <f>160</f>
        <v>160</v>
      </c>
      <c r="K653" s="29">
        <f>SUM(V650:V652)</f>
        <v>2518.77</v>
      </c>
    </row>
    <row r="654" spans="1:35" ht="15" x14ac:dyDescent="0.25">
      <c r="C654" s="13" t="s">
        <v>1015</v>
      </c>
      <c r="H654" s="50">
        <f>I651+I653+0</f>
        <v>404.63</v>
      </c>
      <c r="I654" s="50"/>
      <c r="J654" s="50">
        <f>K651+K653+0</f>
        <v>6501.4</v>
      </c>
      <c r="K654" s="50"/>
      <c r="O654" s="25">
        <f>I651+I653+0</f>
        <v>404.63</v>
      </c>
      <c r="P654" s="25">
        <f>K651+K653+0</f>
        <v>6501.4</v>
      </c>
      <c r="X654">
        <f>IF(Source!BI360&lt;=1,I651+I653-0, 0)</f>
        <v>404.63</v>
      </c>
      <c r="Y654">
        <f>IF(Source!BI360=2,I651+I653-0, 0)</f>
        <v>0</v>
      </c>
      <c r="Z654">
        <f>IF(Source!BI360=3,I651+I653-0, 0)</f>
        <v>0</v>
      </c>
      <c r="AA654">
        <f>IF(Source!BI360=4,I651+I653,0)</f>
        <v>0</v>
      </c>
    </row>
    <row r="656" spans="1:35" ht="42.75" x14ac:dyDescent="0.2">
      <c r="A656" s="20">
        <v>49</v>
      </c>
      <c r="B656" s="20" t="str">
        <f>Source!F361</f>
        <v>15.2-42-10</v>
      </c>
      <c r="C656" s="20" t="s">
        <v>615</v>
      </c>
      <c r="D656" s="22" t="str">
        <f>Source!H361</f>
        <v>т</v>
      </c>
      <c r="E656" s="21">
        <f>Source!I361</f>
        <v>35.338999999999999</v>
      </c>
      <c r="F656" s="24"/>
      <c r="G656" s="23"/>
      <c r="H656" s="21"/>
      <c r="I656" s="24"/>
      <c r="J656" s="21"/>
      <c r="K656" s="24"/>
      <c r="Q656">
        <f>ROUND((Source!DN361/100)*ROUND((ROUND((Source!AF361*Source!AV361*Source!I361),2)),2), 2)</f>
        <v>0</v>
      </c>
      <c r="R656">
        <f>Source!X361</f>
        <v>0</v>
      </c>
      <c r="S656">
        <f>ROUND((Source!DO361/100)*ROUND((ROUND((Source!AF361*Source!AV361*Source!I361),2)),2), 2)</f>
        <v>0</v>
      </c>
      <c r="T656">
        <f>Source!Y361</f>
        <v>0</v>
      </c>
      <c r="U656">
        <f>ROUND((175/100)*ROUND((ROUND((Source!AE361*Source!AV361*Source!I361),2)),2), 2)</f>
        <v>0</v>
      </c>
      <c r="V656">
        <f>ROUND((160/100)*ROUND(ROUND((ROUND((Source!AE361*Source!AV361*Source!I361),2)*Source!BS361),2), 2), 2)</f>
        <v>0</v>
      </c>
      <c r="AI656">
        <v>0</v>
      </c>
    </row>
    <row r="657" spans="1:35" ht="14.25" x14ac:dyDescent="0.2">
      <c r="A657" s="26"/>
      <c r="B657" s="26"/>
      <c r="C657" s="26" t="s">
        <v>1016</v>
      </c>
      <c r="D657" s="27"/>
      <c r="E657" s="28"/>
      <c r="F657" s="29">
        <f>Source!AM361</f>
        <v>36.39</v>
      </c>
      <c r="G657" s="30" t="str">
        <f>Source!DE361</f>
        <v/>
      </c>
      <c r="H657" s="28">
        <f>Source!AV361</f>
        <v>1</v>
      </c>
      <c r="I657" s="29">
        <f>(ROUND((ROUND(((Source!ET361)*Source!AV361*Source!I361),2)),2)+ROUND((ROUND(((Source!AE361-(Source!EU361))*Source!AV361*Source!I361),2)),2))</f>
        <v>1285.99</v>
      </c>
      <c r="J657" s="28">
        <f>IF(Source!BB361&lt;&gt; 0, Source!BB361, 1)</f>
        <v>14.51</v>
      </c>
      <c r="K657" s="29">
        <f>Source!Q361</f>
        <v>18659.71</v>
      </c>
    </row>
    <row r="658" spans="1:35" ht="15" x14ac:dyDescent="0.25">
      <c r="C658" s="13" t="s">
        <v>1015</v>
      </c>
      <c r="H658" s="50">
        <f>I657+0</f>
        <v>1285.99</v>
      </c>
      <c r="I658" s="50"/>
      <c r="J658" s="50">
        <f>K657+0</f>
        <v>18659.71</v>
      </c>
      <c r="K658" s="50"/>
      <c r="O658" s="25">
        <f>I657+0</f>
        <v>1285.99</v>
      </c>
      <c r="P658" s="25">
        <f>K657+0</f>
        <v>18659.71</v>
      </c>
      <c r="X658">
        <f>IF(Source!BI361&lt;=1,I657-0, 0)</f>
        <v>0</v>
      </c>
      <c r="Y658">
        <f>IF(Source!BI361=2,I657-0, 0)</f>
        <v>0</v>
      </c>
      <c r="Z658">
        <f>IF(Source!BI361=3,I657-0, 0)</f>
        <v>0</v>
      </c>
      <c r="AA658">
        <f>IF(Source!BI361=4,I657,0)</f>
        <v>1285.99</v>
      </c>
    </row>
    <row r="660" spans="1:35" ht="28.5" x14ac:dyDescent="0.2">
      <c r="A660" s="20">
        <v>50</v>
      </c>
      <c r="B660" s="20" t="str">
        <f>Source!F362</f>
        <v>15.1-1500-01</v>
      </c>
      <c r="C660" s="20" t="s">
        <v>622</v>
      </c>
      <c r="D660" s="22" t="str">
        <f>Source!H362</f>
        <v>1 Т</v>
      </c>
      <c r="E660" s="21">
        <f>Source!I362</f>
        <v>35.338999999999999</v>
      </c>
      <c r="F660" s="24"/>
      <c r="G660" s="23"/>
      <c r="H660" s="21"/>
      <c r="I660" s="24"/>
      <c r="J660" s="21"/>
      <c r="K660" s="24"/>
      <c r="Q660">
        <f>ROUND((Source!DN362/100)*ROUND((ROUND((Source!AF362*Source!AV362*Source!I362),2)),2), 2)</f>
        <v>0</v>
      </c>
      <c r="R660">
        <f>Source!X362</f>
        <v>0</v>
      </c>
      <c r="S660">
        <f>ROUND((Source!DO362/100)*ROUND((ROUND((Source!AF362*Source!AV362*Source!I362),2)),2), 2)</f>
        <v>0</v>
      </c>
      <c r="T660">
        <f>Source!Y362</f>
        <v>0</v>
      </c>
      <c r="U660">
        <f>ROUND((175/100)*ROUND((ROUND((Source!AE362*Source!AV362*Source!I362),2)),2), 2)</f>
        <v>0</v>
      </c>
      <c r="V660">
        <f>ROUND((160/100)*ROUND(ROUND((ROUND((Source!AE362*Source!AV362*Source!I362),2)*Source!BS362),2), 2), 2)</f>
        <v>0</v>
      </c>
      <c r="AI660">
        <v>0</v>
      </c>
    </row>
    <row r="661" spans="1:35" ht="14.25" x14ac:dyDescent="0.2">
      <c r="A661" s="26"/>
      <c r="B661" s="26"/>
      <c r="C661" s="26" t="s">
        <v>1016</v>
      </c>
      <c r="D661" s="27"/>
      <c r="E661" s="28"/>
      <c r="F661" s="29">
        <f>Source!AM362</f>
        <v>31.67</v>
      </c>
      <c r="G661" s="30" t="str">
        <f>Source!DE362</f>
        <v/>
      </c>
      <c r="H661" s="28">
        <f>Source!AV362</f>
        <v>1</v>
      </c>
      <c r="I661" s="29">
        <f>(ROUND((ROUND(((Source!ET362)*Source!AV362*Source!I362),2)),2)+ROUND((ROUND(((Source!AE362-(Source!EU362))*Source!AV362*Source!I362),2)),2))</f>
        <v>1119.19</v>
      </c>
      <c r="J661" s="28">
        <f>IF(Source!BB362&lt;&gt; 0, Source!BB362, 1)</f>
        <v>43.37</v>
      </c>
      <c r="K661" s="29">
        <f>Source!Q362</f>
        <v>48539.27</v>
      </c>
    </row>
    <row r="662" spans="1:35" ht="15" x14ac:dyDescent="0.25">
      <c r="C662" s="13" t="s">
        <v>1015</v>
      </c>
      <c r="H662" s="50">
        <f>I661+0</f>
        <v>1119.19</v>
      </c>
      <c r="I662" s="50"/>
      <c r="J662" s="50">
        <f>K661+0</f>
        <v>48539.27</v>
      </c>
      <c r="K662" s="50"/>
      <c r="O662" s="25">
        <f>I661+0</f>
        <v>1119.19</v>
      </c>
      <c r="P662" s="25">
        <f>K661+0</f>
        <v>48539.27</v>
      </c>
      <c r="X662">
        <f>IF(Source!BI362&lt;=1,I661-0, 0)</f>
        <v>0</v>
      </c>
      <c r="Y662">
        <f>IF(Source!BI362=2,I661-0, 0)</f>
        <v>0</v>
      </c>
      <c r="Z662">
        <f>IF(Source!BI362=3,I661-0, 0)</f>
        <v>0</v>
      </c>
      <c r="AA662">
        <f>IF(Source!BI362=4,I661,0)</f>
        <v>1119.19</v>
      </c>
    </row>
    <row r="665" spans="1:35" ht="15" x14ac:dyDescent="0.25">
      <c r="A665" s="54" t="str">
        <f>CONCATENATE("Итого по разделу: ",IF(Source!G364&lt;&gt;"Новый раздел", Source!G364, ""))</f>
        <v>Итого по разделу: Вывоз мусора</v>
      </c>
      <c r="B665" s="54"/>
      <c r="C665" s="54"/>
      <c r="D665" s="54"/>
      <c r="E665" s="54"/>
      <c r="F665" s="54"/>
      <c r="G665" s="54"/>
      <c r="H665" s="52">
        <f>SUM(O649:O664)</f>
        <v>2809.81</v>
      </c>
      <c r="I665" s="53"/>
      <c r="J665" s="52">
        <f>SUM(P649:P664)</f>
        <v>73700.38</v>
      </c>
      <c r="K665" s="53"/>
    </row>
    <row r="666" spans="1:35" hidden="1" x14ac:dyDescent="0.2">
      <c r="A666" t="s">
        <v>1020</v>
      </c>
      <c r="H666">
        <f>SUM(AC649:AC665)</f>
        <v>0</v>
      </c>
      <c r="J666">
        <f>SUM(AD649:AD665)</f>
        <v>0</v>
      </c>
    </row>
    <row r="667" spans="1:35" hidden="1" x14ac:dyDescent="0.2">
      <c r="A667" t="s">
        <v>1021</v>
      </c>
      <c r="H667">
        <f>SUM(AE649:AE666)</f>
        <v>0</v>
      </c>
      <c r="J667">
        <f>SUM(AF649:AF666)</f>
        <v>0</v>
      </c>
    </row>
    <row r="669" spans="1:35" ht="15" x14ac:dyDescent="0.25">
      <c r="A669" s="54" t="str">
        <f>CONCATENATE("Итого по локальной смете: ",IF(Source!G394&lt;&gt;"Новая локальная смета", Source!G394, ""))</f>
        <v xml:space="preserve">Итого по локальной смете: </v>
      </c>
      <c r="B669" s="54"/>
      <c r="C669" s="54"/>
      <c r="D669" s="54"/>
      <c r="E669" s="54"/>
      <c r="F669" s="54"/>
      <c r="G669" s="54"/>
      <c r="H669" s="52">
        <f>SUM(O37:O668)</f>
        <v>317151.07000000007</v>
      </c>
      <c r="I669" s="53"/>
      <c r="J669" s="52">
        <f>SUM(P37:P668)</f>
        <v>2496233.310000001</v>
      </c>
      <c r="K669" s="53"/>
    </row>
    <row r="670" spans="1:35" hidden="1" x14ac:dyDescent="0.2">
      <c r="A670" t="s">
        <v>1020</v>
      </c>
      <c r="H670">
        <f>SUM(AC37:AC669)</f>
        <v>0</v>
      </c>
      <c r="J670">
        <f>SUM(AD37:AD669)</f>
        <v>0</v>
      </c>
    </row>
    <row r="671" spans="1:35" hidden="1" x14ac:dyDescent="0.2">
      <c r="A671" t="s">
        <v>1021</v>
      </c>
      <c r="H671">
        <f>SUM(AE37:AE670)</f>
        <v>0</v>
      </c>
      <c r="J671">
        <f>SUM(AF37:AF670)</f>
        <v>0</v>
      </c>
    </row>
    <row r="672" spans="1:35" ht="14.25" x14ac:dyDescent="0.2">
      <c r="C672" s="55" t="str">
        <f>Source!H423</f>
        <v>Итого</v>
      </c>
      <c r="D672" s="55"/>
      <c r="E672" s="55"/>
      <c r="F672" s="55"/>
      <c r="G672" s="55"/>
      <c r="H672" s="55"/>
      <c r="I672" s="55"/>
      <c r="J672" s="56">
        <f>IF(Source!F423=0, "", Source!F423)</f>
        <v>2496233.31</v>
      </c>
      <c r="K672" s="56"/>
    </row>
    <row r="673" spans="1:43" ht="14.25" x14ac:dyDescent="0.2">
      <c r="C673" s="55" t="str">
        <f>Source!H424</f>
        <v>НДС 20%</v>
      </c>
      <c r="D673" s="55"/>
      <c r="E673" s="55"/>
      <c r="F673" s="55"/>
      <c r="G673" s="55"/>
      <c r="H673" s="55"/>
      <c r="I673" s="55"/>
      <c r="J673" s="56">
        <f>IF(Source!F424=0, "", Source!F424)</f>
        <v>499246.66</v>
      </c>
      <c r="K673" s="56"/>
    </row>
    <row r="674" spans="1:43" ht="15" x14ac:dyDescent="0.25">
      <c r="C674" s="54" t="str">
        <f>Source!H425</f>
        <v>Всего</v>
      </c>
      <c r="D674" s="54"/>
      <c r="E674" s="54"/>
      <c r="F674" s="54"/>
      <c r="G674" s="54"/>
      <c r="H674" s="54"/>
      <c r="I674" s="54"/>
      <c r="J674" s="52">
        <f>IF(Source!F425=0, "", Source!F425)</f>
        <v>2995479.97</v>
      </c>
      <c r="K674" s="52"/>
    </row>
    <row r="676" spans="1:43" ht="30" hidden="1" x14ac:dyDescent="0.25">
      <c r="A676" s="54" t="str">
        <f>CONCATENATE("Итого по смете: ",IF(Source!G427&lt;&gt;"Новый объект", Source!G427, ""))</f>
        <v>Итого по смете: ГБУ "Мой семейный центр "Зеленоград" по адресу: г. Москва, г. Зеленоград, к.1426_(до 3) (ТСН-2001 (Мосгосэкспертиза))</v>
      </c>
      <c r="B676" s="54"/>
      <c r="C676" s="54"/>
      <c r="D676" s="54"/>
      <c r="E676" s="54"/>
      <c r="F676" s="54"/>
      <c r="G676" s="54"/>
      <c r="H676" s="52">
        <f>SUM(O10:O675)</f>
        <v>317151.07000000007</v>
      </c>
      <c r="I676" s="53"/>
      <c r="J676" s="52">
        <f>SUM(P10:P675)</f>
        <v>2496233.310000001</v>
      </c>
      <c r="K676" s="53"/>
      <c r="AQ676" s="34" t="str">
        <f>CONCATENATE("Итого по смете: ",IF(Source!G427&lt;&gt;"Новый объект", Source!G427, ""))</f>
        <v>Итого по смете: ГБУ "Мой семейный центр "Зеленоград" по адресу: г. Москва, г. Зеленоград, к.1426_(до 3) (ТСН-2001 (Мосгосэкспертиза))</v>
      </c>
    </row>
    <row r="677" spans="1:43" hidden="1" x14ac:dyDescent="0.2">
      <c r="A677" t="s">
        <v>1020</v>
      </c>
      <c r="H677">
        <f>SUM(AC10:AC676)</f>
        <v>0</v>
      </c>
      <c r="J677">
        <f>SUM(AD10:AD676)</f>
        <v>0</v>
      </c>
    </row>
    <row r="678" spans="1:43" hidden="1" x14ac:dyDescent="0.2">
      <c r="A678" t="s">
        <v>1021</v>
      </c>
      <c r="H678">
        <f>SUM(AE10:AE677)</f>
        <v>0</v>
      </c>
      <c r="J678">
        <f>SUM(AF10:AF677)</f>
        <v>0</v>
      </c>
    </row>
    <row r="681" spans="1:43" ht="14.25" x14ac:dyDescent="0.2">
      <c r="A681" s="57" t="s">
        <v>1024</v>
      </c>
      <c r="B681" s="57"/>
      <c r="C681" s="35" t="str">
        <f>IF(Source!AC12&lt;&gt;"", Source!AC12," ")</f>
        <v xml:space="preserve"> </v>
      </c>
      <c r="D681" s="35"/>
      <c r="E681" s="35"/>
      <c r="F681" s="35"/>
      <c r="G681" s="35"/>
      <c r="H681" s="38" t="str">
        <f>IF(Source!AB12&lt;&gt;"", Source!AB12," ")</f>
        <v xml:space="preserve"> </v>
      </c>
      <c r="I681" s="38"/>
      <c r="J681" s="38"/>
      <c r="K681" s="38"/>
    </row>
    <row r="682" spans="1:43" ht="14.25" x14ac:dyDescent="0.2">
      <c r="A682" s="9"/>
      <c r="B682" s="9"/>
      <c r="C682" s="46" t="s">
        <v>1025</v>
      </c>
      <c r="D682" s="46"/>
      <c r="E682" s="46"/>
      <c r="F682" s="46"/>
      <c r="G682" s="46"/>
      <c r="H682" s="9"/>
      <c r="I682" s="9"/>
      <c r="J682" s="9"/>
      <c r="K682" s="9"/>
    </row>
    <row r="683" spans="1:43" ht="14.25" x14ac:dyDescent="0.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</row>
    <row r="684" spans="1:43" ht="14.25" x14ac:dyDescent="0.2">
      <c r="A684" s="57" t="s">
        <v>1026</v>
      </c>
      <c r="B684" s="57"/>
      <c r="C684" s="35" t="str">
        <f>IF(Source!AE12&lt;&gt;"", Source!AE12," ")</f>
        <v xml:space="preserve"> </v>
      </c>
      <c r="D684" s="35"/>
      <c r="E684" s="35"/>
      <c r="F684" s="35"/>
      <c r="G684" s="35"/>
      <c r="H684" s="38" t="str">
        <f>IF(Source!AD12&lt;&gt;"", Source!AD12," ")</f>
        <v xml:space="preserve"> </v>
      </c>
      <c r="I684" s="38"/>
      <c r="J684" s="38"/>
      <c r="K684" s="38"/>
    </row>
    <row r="685" spans="1:43" ht="14.25" x14ac:dyDescent="0.2">
      <c r="A685" s="9"/>
      <c r="B685" s="9"/>
      <c r="C685" s="46" t="s">
        <v>1025</v>
      </c>
      <c r="D685" s="46"/>
      <c r="E685" s="46"/>
      <c r="F685" s="46"/>
      <c r="G685" s="46"/>
      <c r="H685" s="9"/>
      <c r="I685" s="9"/>
      <c r="J685" s="9"/>
      <c r="K685" s="9"/>
    </row>
  </sheetData>
  <mergeCells count="171">
    <mergeCell ref="A684:B684"/>
    <mergeCell ref="H684:K684"/>
    <mergeCell ref="C685:G685"/>
    <mergeCell ref="J676:K676"/>
    <mergeCell ref="H676:I676"/>
    <mergeCell ref="A676:G676"/>
    <mergeCell ref="A681:B681"/>
    <mergeCell ref="H681:K681"/>
    <mergeCell ref="C682:G682"/>
    <mergeCell ref="C672:I672"/>
    <mergeCell ref="J672:K672"/>
    <mergeCell ref="C673:I673"/>
    <mergeCell ref="J673:K673"/>
    <mergeCell ref="C674:I674"/>
    <mergeCell ref="J674:K674"/>
    <mergeCell ref="H662:I662"/>
    <mergeCell ref="J662:K662"/>
    <mergeCell ref="J665:K665"/>
    <mergeCell ref="H665:I665"/>
    <mergeCell ref="A665:G665"/>
    <mergeCell ref="J669:K669"/>
    <mergeCell ref="H669:I669"/>
    <mergeCell ref="A669:G669"/>
    <mergeCell ref="A645:G645"/>
    <mergeCell ref="A649:K649"/>
    <mergeCell ref="H654:I654"/>
    <mergeCell ref="J654:K654"/>
    <mergeCell ref="H658:I658"/>
    <mergeCell ref="J658:K658"/>
    <mergeCell ref="H628:I628"/>
    <mergeCell ref="J628:K628"/>
    <mergeCell ref="H642:I642"/>
    <mergeCell ref="J642:K642"/>
    <mergeCell ref="J645:K645"/>
    <mergeCell ref="H645:I645"/>
    <mergeCell ref="H589:I589"/>
    <mergeCell ref="J589:K589"/>
    <mergeCell ref="H605:I605"/>
    <mergeCell ref="J605:K605"/>
    <mergeCell ref="H619:I619"/>
    <mergeCell ref="J619:K619"/>
    <mergeCell ref="H575:I575"/>
    <mergeCell ref="J575:K575"/>
    <mergeCell ref="J578:K578"/>
    <mergeCell ref="H578:I578"/>
    <mergeCell ref="A578:G578"/>
    <mergeCell ref="A582:K582"/>
    <mergeCell ref="H540:I540"/>
    <mergeCell ref="J540:K540"/>
    <mergeCell ref="H552:I552"/>
    <mergeCell ref="J552:K552"/>
    <mergeCell ref="H561:I561"/>
    <mergeCell ref="J561:K561"/>
    <mergeCell ref="J513:K513"/>
    <mergeCell ref="H513:I513"/>
    <mergeCell ref="A513:G513"/>
    <mergeCell ref="A517:K517"/>
    <mergeCell ref="H527:I527"/>
    <mergeCell ref="J527:K527"/>
    <mergeCell ref="H484:I484"/>
    <mergeCell ref="J484:K484"/>
    <mergeCell ref="H497:I497"/>
    <mergeCell ref="J497:K497"/>
    <mergeCell ref="H510:I510"/>
    <mergeCell ref="J510:K510"/>
    <mergeCell ref="H441:I441"/>
    <mergeCell ref="J441:K441"/>
    <mergeCell ref="H456:I456"/>
    <mergeCell ref="J456:K456"/>
    <mergeCell ref="H470:I470"/>
    <mergeCell ref="J470:K470"/>
    <mergeCell ref="H398:I398"/>
    <mergeCell ref="J398:K398"/>
    <mergeCell ref="H411:I411"/>
    <mergeCell ref="J411:K411"/>
    <mergeCell ref="H426:I426"/>
    <mergeCell ref="J426:K426"/>
    <mergeCell ref="H367:I367"/>
    <mergeCell ref="J367:K367"/>
    <mergeCell ref="H375:I375"/>
    <mergeCell ref="J375:K375"/>
    <mergeCell ref="B378:J378"/>
    <mergeCell ref="H388:I388"/>
    <mergeCell ref="J388:K388"/>
    <mergeCell ref="B330:J330"/>
    <mergeCell ref="H337:I337"/>
    <mergeCell ref="J337:K337"/>
    <mergeCell ref="H345:I345"/>
    <mergeCell ref="J345:K345"/>
    <mergeCell ref="H356:I356"/>
    <mergeCell ref="J356:K356"/>
    <mergeCell ref="H321:I321"/>
    <mergeCell ref="J321:K321"/>
    <mergeCell ref="J324:K324"/>
    <mergeCell ref="H324:I324"/>
    <mergeCell ref="A324:G324"/>
    <mergeCell ref="A328:K328"/>
    <mergeCell ref="H275:I275"/>
    <mergeCell ref="J275:K275"/>
    <mergeCell ref="B278:J278"/>
    <mergeCell ref="H294:I294"/>
    <mergeCell ref="J294:K294"/>
    <mergeCell ref="H307:I307"/>
    <mergeCell ref="J307:K307"/>
    <mergeCell ref="H237:I237"/>
    <mergeCell ref="J237:K237"/>
    <mergeCell ref="H251:I251"/>
    <mergeCell ref="J251:K251"/>
    <mergeCell ref="H266:I266"/>
    <mergeCell ref="J266:K266"/>
    <mergeCell ref="B181:J181"/>
    <mergeCell ref="H192:I192"/>
    <mergeCell ref="J192:K192"/>
    <mergeCell ref="H207:I207"/>
    <mergeCell ref="J207:K207"/>
    <mergeCell ref="H222:I222"/>
    <mergeCell ref="J222:K222"/>
    <mergeCell ref="H159:I159"/>
    <mergeCell ref="J159:K159"/>
    <mergeCell ref="H167:I167"/>
    <mergeCell ref="J167:K167"/>
    <mergeCell ref="H178:I178"/>
    <mergeCell ref="J178:K178"/>
    <mergeCell ref="J138:K138"/>
    <mergeCell ref="H138:I138"/>
    <mergeCell ref="A138:G138"/>
    <mergeCell ref="A142:K142"/>
    <mergeCell ref="B144:J144"/>
    <mergeCell ref="H151:I151"/>
    <mergeCell ref="J151:K151"/>
    <mergeCell ref="H109:I109"/>
    <mergeCell ref="J109:K109"/>
    <mergeCell ref="H121:I121"/>
    <mergeCell ref="J121:K121"/>
    <mergeCell ref="H135:I135"/>
    <mergeCell ref="J135:K135"/>
    <mergeCell ref="H67:I67"/>
    <mergeCell ref="J67:K67"/>
    <mergeCell ref="B70:J70"/>
    <mergeCell ref="H81:I81"/>
    <mergeCell ref="J81:K81"/>
    <mergeCell ref="H95:I95"/>
    <mergeCell ref="J95:K95"/>
    <mergeCell ref="A39:K39"/>
    <mergeCell ref="B41:J41"/>
    <mergeCell ref="H47:I47"/>
    <mergeCell ref="J47:K47"/>
    <mergeCell ref="H58:I58"/>
    <mergeCell ref="J58:K58"/>
    <mergeCell ref="A37:K37"/>
    <mergeCell ref="E22:H22"/>
    <mergeCell ref="E23:H23"/>
    <mergeCell ref="E24:H24"/>
    <mergeCell ref="E25:H25"/>
    <mergeCell ref="E26:H26"/>
    <mergeCell ref="E27:H27"/>
    <mergeCell ref="A11:K11"/>
    <mergeCell ref="A12:K12"/>
    <mergeCell ref="A14:K14"/>
    <mergeCell ref="A16:K16"/>
    <mergeCell ref="A17:K17"/>
    <mergeCell ref="A19:K19"/>
    <mergeCell ref="G1:I1"/>
    <mergeCell ref="G2:K2"/>
    <mergeCell ref="G3:I3"/>
    <mergeCell ref="G5:K5"/>
    <mergeCell ref="E28:H28"/>
    <mergeCell ref="E29:H29"/>
    <mergeCell ref="E30:H30"/>
    <mergeCell ref="A33:K33"/>
    <mergeCell ref="J10:K10"/>
  </mergeCells>
  <pageMargins left="0.4" right="0.2" top="0.2" bottom="0.4" header="0.2" footer="0.2"/>
  <pageSetup paperSize="9" scale="6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469"/>
  <sheetViews>
    <sheetView workbookViewId="0">
      <selection activeCell="F13" sqref="F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64917</v>
      </c>
      <c r="M1">
        <v>10</v>
      </c>
      <c r="N1">
        <v>11</v>
      </c>
      <c r="O1">
        <v>8</v>
      </c>
      <c r="P1">
        <v>0</v>
      </c>
      <c r="Q1">
        <v>1</v>
      </c>
    </row>
    <row r="12" spans="1:133" x14ac:dyDescent="0.2">
      <c r="A12" s="1">
        <v>1</v>
      </c>
      <c r="B12" s="1">
        <v>463</v>
      </c>
      <c r="C12" s="1">
        <v>0</v>
      </c>
      <c r="D12" s="1">
        <f>ROW(A427)</f>
        <v>427</v>
      </c>
      <c r="E12" s="1">
        <v>0</v>
      </c>
      <c r="F12" s="1"/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18874376</v>
      </c>
      <c r="CI12" s="1" t="s">
        <v>3</v>
      </c>
      <c r="CJ12" s="1" t="s">
        <v>3</v>
      </c>
      <c r="CK12" s="1">
        <v>71</v>
      </c>
      <c r="CL12" s="1"/>
      <c r="CM12" s="1"/>
      <c r="CN12" s="1"/>
      <c r="CO12" s="1"/>
      <c r="CP12" s="1"/>
      <c r="CQ12" s="1" t="s">
        <v>11</v>
      </c>
      <c r="CR12" s="1" t="s">
        <v>12</v>
      </c>
      <c r="CS12" s="1">
        <v>41660</v>
      </c>
      <c r="CT12" s="1">
        <v>1</v>
      </c>
      <c r="CU12" s="1">
        <v>71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B427</f>
        <v>463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ГБУ "Мой семейный центр "Зеленоград" по адресу: г. Москва, г. Зеленоград, к.1426_(до 3) (ТСН-2001 (Мосгосэкспертиза))</v>
      </c>
      <c r="H18" s="2"/>
      <c r="I18" s="2"/>
      <c r="J18" s="2"/>
      <c r="K18" s="2"/>
      <c r="L18" s="2"/>
      <c r="M18" s="2"/>
      <c r="N18" s="2"/>
      <c r="O18" s="2">
        <f t="shared" ref="O18:AT18" si="1">O427</f>
        <v>1758191.19</v>
      </c>
      <c r="P18" s="2">
        <f t="shared" si="1"/>
        <v>1073893.7</v>
      </c>
      <c r="Q18" s="2">
        <f t="shared" si="1"/>
        <v>104431.81</v>
      </c>
      <c r="R18" s="2">
        <f t="shared" si="1"/>
        <v>20546.87</v>
      </c>
      <c r="S18" s="2">
        <f t="shared" si="1"/>
        <v>579865.68000000005</v>
      </c>
      <c r="T18" s="2">
        <f t="shared" si="1"/>
        <v>0</v>
      </c>
      <c r="U18" s="2">
        <f t="shared" si="1"/>
        <v>1651.99647</v>
      </c>
      <c r="V18" s="2">
        <f t="shared" si="1"/>
        <v>0</v>
      </c>
      <c r="W18" s="2">
        <f t="shared" si="1"/>
        <v>0</v>
      </c>
      <c r="X18" s="2">
        <f t="shared" si="1"/>
        <v>467422.2</v>
      </c>
      <c r="Y18" s="2">
        <f t="shared" si="1"/>
        <v>237744.93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2496233.31</v>
      </c>
      <c r="AS18" s="2">
        <f t="shared" si="1"/>
        <v>2429034.33</v>
      </c>
      <c r="AT18" s="2">
        <f t="shared" si="1"/>
        <v>0</v>
      </c>
      <c r="AU18" s="2">
        <f t="shared" ref="AU18:BZ18" si="2">AU427</f>
        <v>67198.98</v>
      </c>
      <c r="AV18" s="2">
        <f t="shared" si="2"/>
        <v>1073893.7</v>
      </c>
      <c r="AW18" s="2">
        <f t="shared" si="2"/>
        <v>1073893.7</v>
      </c>
      <c r="AX18" s="2">
        <f t="shared" si="2"/>
        <v>0</v>
      </c>
      <c r="AY18" s="2">
        <f t="shared" si="2"/>
        <v>1073893.7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CA427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DG427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EM427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FS427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ROW(A394)</f>
        <v>394</v>
      </c>
      <c r="E20" s="1"/>
      <c r="F20" s="1" t="s">
        <v>13</v>
      </c>
      <c r="G20" s="1" t="s">
        <v>13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B394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O394</f>
        <v>1758191.19</v>
      </c>
      <c r="P22" s="2">
        <f t="shared" si="8"/>
        <v>1073893.7</v>
      </c>
      <c r="Q22" s="2">
        <f t="shared" si="8"/>
        <v>104431.81</v>
      </c>
      <c r="R22" s="2">
        <f t="shared" si="8"/>
        <v>20546.87</v>
      </c>
      <c r="S22" s="2">
        <f t="shared" si="8"/>
        <v>579865.68000000005</v>
      </c>
      <c r="T22" s="2">
        <f t="shared" si="8"/>
        <v>0</v>
      </c>
      <c r="U22" s="2">
        <f t="shared" si="8"/>
        <v>1651.99647</v>
      </c>
      <c r="V22" s="2">
        <f t="shared" si="8"/>
        <v>0</v>
      </c>
      <c r="W22" s="2">
        <f t="shared" si="8"/>
        <v>0</v>
      </c>
      <c r="X22" s="2">
        <f t="shared" si="8"/>
        <v>467422.2</v>
      </c>
      <c r="Y22" s="2">
        <f t="shared" si="8"/>
        <v>237744.93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2496233.31</v>
      </c>
      <c r="AS22" s="2">
        <f t="shared" si="8"/>
        <v>2429034.33</v>
      </c>
      <c r="AT22" s="2">
        <f t="shared" si="8"/>
        <v>0</v>
      </c>
      <c r="AU22" s="2">
        <f t="shared" ref="AU22:BZ22" si="9">AU394</f>
        <v>67198.98</v>
      </c>
      <c r="AV22" s="2">
        <f t="shared" si="9"/>
        <v>1073893.7</v>
      </c>
      <c r="AW22" s="2">
        <f t="shared" si="9"/>
        <v>1073893.7</v>
      </c>
      <c r="AX22" s="2">
        <f t="shared" si="9"/>
        <v>0</v>
      </c>
      <c r="AY22" s="2">
        <f t="shared" si="9"/>
        <v>1073893.7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CA394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DG394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EM394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FS394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ROW(A63)</f>
        <v>63</v>
      </c>
      <c r="E24" s="1"/>
      <c r="F24" s="1" t="s">
        <v>14</v>
      </c>
      <c r="G24" s="1" t="s">
        <v>15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B63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Потолок</v>
      </c>
      <c r="H26" s="2"/>
      <c r="I26" s="2"/>
      <c r="J26" s="2"/>
      <c r="K26" s="2"/>
      <c r="L26" s="2"/>
      <c r="M26" s="2"/>
      <c r="N26" s="2"/>
      <c r="O26" s="2">
        <f t="shared" ref="O26:AT26" si="15">O63</f>
        <v>171707.18</v>
      </c>
      <c r="P26" s="2">
        <f t="shared" si="15"/>
        <v>84631.55</v>
      </c>
      <c r="Q26" s="2">
        <f t="shared" si="15"/>
        <v>979.08</v>
      </c>
      <c r="R26" s="2">
        <f t="shared" si="15"/>
        <v>279.02999999999997</v>
      </c>
      <c r="S26" s="2">
        <f t="shared" si="15"/>
        <v>86096.55</v>
      </c>
      <c r="T26" s="2">
        <f t="shared" si="15"/>
        <v>0</v>
      </c>
      <c r="U26" s="2">
        <f t="shared" si="15"/>
        <v>246.93829999999997</v>
      </c>
      <c r="V26" s="2">
        <f t="shared" si="15"/>
        <v>0</v>
      </c>
      <c r="W26" s="2">
        <f t="shared" si="15"/>
        <v>0</v>
      </c>
      <c r="X26" s="2">
        <f t="shared" si="15"/>
        <v>68452.479999999996</v>
      </c>
      <c r="Y26" s="2">
        <f t="shared" si="15"/>
        <v>35299.589999999997</v>
      </c>
      <c r="Z26" s="2">
        <f t="shared" si="15"/>
        <v>0</v>
      </c>
      <c r="AA26" s="2">
        <f t="shared" si="15"/>
        <v>0</v>
      </c>
      <c r="AB26" s="2">
        <f t="shared" si="15"/>
        <v>171707.18</v>
      </c>
      <c r="AC26" s="2">
        <f t="shared" si="15"/>
        <v>84631.55</v>
      </c>
      <c r="AD26" s="2">
        <f t="shared" si="15"/>
        <v>979.08</v>
      </c>
      <c r="AE26" s="2">
        <f t="shared" si="15"/>
        <v>279.02999999999997</v>
      </c>
      <c r="AF26" s="2">
        <f t="shared" si="15"/>
        <v>86096.55</v>
      </c>
      <c r="AG26" s="2">
        <f t="shared" si="15"/>
        <v>0</v>
      </c>
      <c r="AH26" s="2">
        <f t="shared" si="15"/>
        <v>246.93829999999997</v>
      </c>
      <c r="AI26" s="2">
        <f t="shared" si="15"/>
        <v>0</v>
      </c>
      <c r="AJ26" s="2">
        <f t="shared" si="15"/>
        <v>0</v>
      </c>
      <c r="AK26" s="2">
        <f t="shared" si="15"/>
        <v>68452.479999999996</v>
      </c>
      <c r="AL26" s="2">
        <f t="shared" si="15"/>
        <v>35299.589999999997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275905.71000000002</v>
      </c>
      <c r="AS26" s="2">
        <f t="shared" si="15"/>
        <v>275905.71000000002</v>
      </c>
      <c r="AT26" s="2">
        <f t="shared" si="15"/>
        <v>0</v>
      </c>
      <c r="AU26" s="2">
        <f t="shared" ref="AU26:BZ26" si="16">AU63</f>
        <v>0</v>
      </c>
      <c r="AV26" s="2">
        <f t="shared" si="16"/>
        <v>84631.55</v>
      </c>
      <c r="AW26" s="2">
        <f t="shared" si="16"/>
        <v>84631.55</v>
      </c>
      <c r="AX26" s="2">
        <f t="shared" si="16"/>
        <v>0</v>
      </c>
      <c r="AY26" s="2">
        <f t="shared" si="16"/>
        <v>84631.55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CA63</f>
        <v>275905.71000000002</v>
      </c>
      <c r="CB26" s="2">
        <f t="shared" si="17"/>
        <v>275905.71000000002</v>
      </c>
      <c r="CC26" s="2">
        <f t="shared" si="17"/>
        <v>0</v>
      </c>
      <c r="CD26" s="2">
        <f t="shared" si="17"/>
        <v>0</v>
      </c>
      <c r="CE26" s="2">
        <f t="shared" si="17"/>
        <v>84631.55</v>
      </c>
      <c r="CF26" s="2">
        <f t="shared" si="17"/>
        <v>84631.55</v>
      </c>
      <c r="CG26" s="2">
        <f t="shared" si="17"/>
        <v>0</v>
      </c>
      <c r="CH26" s="2">
        <f t="shared" si="17"/>
        <v>84631.55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DG63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EM63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FS63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19</v>
      </c>
      <c r="B28">
        <v>1</v>
      </c>
      <c r="F28" t="s">
        <v>3</v>
      </c>
      <c r="G28" t="s">
        <v>16</v>
      </c>
      <c r="H28" t="s">
        <v>3</v>
      </c>
      <c r="AA28">
        <v>1</v>
      </c>
      <c r="IK28">
        <v>0</v>
      </c>
    </row>
    <row r="29" spans="1:245" x14ac:dyDescent="0.2">
      <c r="A29">
        <v>17</v>
      </c>
      <c r="B29">
        <v>1</v>
      </c>
      <c r="C29">
        <f>ROW(SmtRes!A1)</f>
        <v>1</v>
      </c>
      <c r="D29">
        <f>ROW(EtalonRes!A1)</f>
        <v>1</v>
      </c>
      <c r="E29" t="s">
        <v>17</v>
      </c>
      <c r="F29" t="s">
        <v>18</v>
      </c>
      <c r="G29" t="s">
        <v>19</v>
      </c>
      <c r="H29" t="s">
        <v>20</v>
      </c>
      <c r="I29">
        <v>45</v>
      </c>
      <c r="J29">
        <v>0</v>
      </c>
      <c r="K29">
        <v>45</v>
      </c>
      <c r="O29">
        <f>ROUND(CP29,2)</f>
        <v>8303.09</v>
      </c>
      <c r="P29">
        <f>ROUND((ROUND((AC29*AW29*I29),2)*BC29),2)</f>
        <v>0</v>
      </c>
      <c r="Q29">
        <f>(ROUND((ROUND(((ET29)*AV29*I29),2)*BB29),2)+ROUND((ROUND(((AE29-(EU29))*AV29*I29),2)*BS29),2))</f>
        <v>0</v>
      </c>
      <c r="R29">
        <f>ROUND((ROUND((AE29*AV29*I29),2)*BS29),2)</f>
        <v>0</v>
      </c>
      <c r="S29">
        <f>ROUND((ROUND((AF29*AV29*I29),2)*BA29),2)</f>
        <v>8303.09</v>
      </c>
      <c r="T29">
        <f>ROUND(CU29*I29,2)</f>
        <v>0</v>
      </c>
      <c r="U29">
        <f>CV29*I29</f>
        <v>27</v>
      </c>
      <c r="V29">
        <f>CW29*I29</f>
        <v>0</v>
      </c>
      <c r="W29">
        <f>ROUND(CX29*I29,2)</f>
        <v>0</v>
      </c>
      <c r="X29">
        <f t="shared" ref="X29:Y32" si="21">ROUND(CY29,2)</f>
        <v>6891.56</v>
      </c>
      <c r="Y29">
        <f t="shared" si="21"/>
        <v>3404.27</v>
      </c>
      <c r="AA29">
        <v>53860087</v>
      </c>
      <c r="AB29">
        <f>ROUND((AC29+AD29+AF29),6)</f>
        <v>6.13</v>
      </c>
      <c r="AC29">
        <f>ROUND((ES29),6)</f>
        <v>0</v>
      </c>
      <c r="AD29">
        <f>ROUND((((ET29)-(EU29))+AE29),6)</f>
        <v>0</v>
      </c>
      <c r="AE29">
        <f>ROUND((EU29),6)</f>
        <v>0</v>
      </c>
      <c r="AF29">
        <f>ROUND((EV29),6)</f>
        <v>6.13</v>
      </c>
      <c r="AG29">
        <f>ROUND((AP29),6)</f>
        <v>0</v>
      </c>
      <c r="AH29">
        <f>(EW29)</f>
        <v>0.6</v>
      </c>
      <c r="AI29">
        <f>(EX29)</f>
        <v>0</v>
      </c>
      <c r="AJ29">
        <f>(AS29)</f>
        <v>0</v>
      </c>
      <c r="AK29">
        <v>6.13</v>
      </c>
      <c r="AL29">
        <v>0</v>
      </c>
      <c r="AM29">
        <v>0</v>
      </c>
      <c r="AN29">
        <v>0</v>
      </c>
      <c r="AO29">
        <v>6.13</v>
      </c>
      <c r="AP29">
        <v>0</v>
      </c>
      <c r="AQ29">
        <v>0.6</v>
      </c>
      <c r="AR29">
        <v>0</v>
      </c>
      <c r="AS29">
        <v>0</v>
      </c>
      <c r="AT29">
        <v>83</v>
      </c>
      <c r="AU29">
        <v>41</v>
      </c>
      <c r="AV29">
        <v>1</v>
      </c>
      <c r="AW29">
        <v>1</v>
      </c>
      <c r="AZ29">
        <v>1</v>
      </c>
      <c r="BA29">
        <v>30.1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21</v>
      </c>
      <c r="BM29">
        <v>478</v>
      </c>
      <c r="BN29">
        <v>36862081</v>
      </c>
      <c r="BO29" t="s">
        <v>18</v>
      </c>
      <c r="BP29">
        <v>1</v>
      </c>
      <c r="BQ29">
        <v>60</v>
      </c>
      <c r="BR29">
        <v>0</v>
      </c>
      <c r="BS29">
        <v>30.1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83</v>
      </c>
      <c r="CA29">
        <v>41</v>
      </c>
      <c r="CB29" t="s">
        <v>3</v>
      </c>
      <c r="CE29">
        <v>30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(P29+Q29+S29)</f>
        <v>8303.09</v>
      </c>
      <c r="CQ29">
        <f>ROUND((ROUND((AC29*AW29*1),2)*BC29),2)</f>
        <v>0</v>
      </c>
      <c r="CR29">
        <f>(ROUND((ROUND(((ET29)*AV29*1),2)*BB29),2)+ROUND((ROUND(((AE29-(EU29))*AV29*1),2)*BS29),2))</f>
        <v>0</v>
      </c>
      <c r="CS29">
        <f>ROUND((ROUND((AE29*AV29*1),2)*BS29),2)</f>
        <v>0</v>
      </c>
      <c r="CT29">
        <f>ROUND((ROUND((AF29*AV29*1),2)*BA29),2)</f>
        <v>184.51</v>
      </c>
      <c r="CU29">
        <f>AG29</f>
        <v>0</v>
      </c>
      <c r="CV29">
        <f>(AH29*AV29)</f>
        <v>0.6</v>
      </c>
      <c r="CW29">
        <f t="shared" ref="CW29:CX32" si="22">AI29</f>
        <v>0</v>
      </c>
      <c r="CX29">
        <f t="shared" si="22"/>
        <v>0</v>
      </c>
      <c r="CY29">
        <f>S29*(BZ29/100)</f>
        <v>6891.5646999999999</v>
      </c>
      <c r="CZ29">
        <f>S29*(CA29/100)</f>
        <v>3404.2669000000001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100</v>
      </c>
      <c r="DO29">
        <v>64</v>
      </c>
      <c r="DP29">
        <v>1</v>
      </c>
      <c r="DQ29">
        <v>1</v>
      </c>
      <c r="DU29">
        <v>1013</v>
      </c>
      <c r="DV29" t="s">
        <v>20</v>
      </c>
      <c r="DW29" t="s">
        <v>20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53213227</v>
      </c>
      <c r="EF29">
        <v>60</v>
      </c>
      <c r="EG29" t="s">
        <v>22</v>
      </c>
      <c r="EH29">
        <v>0</v>
      </c>
      <c r="EI29" t="s">
        <v>3</v>
      </c>
      <c r="EJ29">
        <v>1</v>
      </c>
      <c r="EK29">
        <v>478</v>
      </c>
      <c r="EL29" t="s">
        <v>23</v>
      </c>
      <c r="EM29" t="s">
        <v>24</v>
      </c>
      <c r="EO29" t="s">
        <v>3</v>
      </c>
      <c r="EQ29">
        <v>131072</v>
      </c>
      <c r="ER29">
        <v>6.13</v>
      </c>
      <c r="ES29">
        <v>0</v>
      </c>
      <c r="ET29">
        <v>0</v>
      </c>
      <c r="EU29">
        <v>0</v>
      </c>
      <c r="EV29">
        <v>6.13</v>
      </c>
      <c r="EW29">
        <v>0.6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100</v>
      </c>
      <c r="FY29">
        <v>64</v>
      </c>
      <c r="GA29" t="s">
        <v>3</v>
      </c>
      <c r="GD29">
        <v>0</v>
      </c>
      <c r="GF29">
        <v>959128924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>ROUND(IF(AND(BH29=3,BI29=3,FS29&lt;&gt;0),P29,0),2)</f>
        <v>0</v>
      </c>
      <c r="GM29">
        <f>ROUND(O29+X29+Y29+GK29,2)+GX29</f>
        <v>18598.919999999998</v>
      </c>
      <c r="GN29">
        <f>IF(OR(BI29=0,BI29=1),GM29,0)</f>
        <v>18598.919999999998</v>
      </c>
      <c r="GO29">
        <f>IF(BI29=2,GM29,0)</f>
        <v>0</v>
      </c>
      <c r="GP29">
        <f>IF(BI29=4,GM29+GX29,0)</f>
        <v>0</v>
      </c>
      <c r="GR29">
        <v>0</v>
      </c>
      <c r="GS29">
        <v>3</v>
      </c>
      <c r="GT29">
        <v>0</v>
      </c>
      <c r="GU29" t="s">
        <v>3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C30">
        <f>ROW(SmtRes!A3)</f>
        <v>3</v>
      </c>
      <c r="D30">
        <f>ROW(EtalonRes!A3)</f>
        <v>3</v>
      </c>
      <c r="E30" t="s">
        <v>25</v>
      </c>
      <c r="F30" t="s">
        <v>26</v>
      </c>
      <c r="G30" t="s">
        <v>27</v>
      </c>
      <c r="H30" t="s">
        <v>28</v>
      </c>
      <c r="I30">
        <f>ROUND(35/100,9)</f>
        <v>0.35</v>
      </c>
      <c r="J30">
        <v>0</v>
      </c>
      <c r="K30">
        <f>ROUND(35/100,9)</f>
        <v>0.35</v>
      </c>
      <c r="O30">
        <f>ROUND(CP30,2)</f>
        <v>7006.06</v>
      </c>
      <c r="P30">
        <f>ROUND((ROUND((AC30*AW30*I30),2)*BC30),2)</f>
        <v>0</v>
      </c>
      <c r="Q30">
        <f>(ROUND((ROUND(((ET30)*AV30*I30),2)*BB30),2)+ROUND((ROUND(((AE30-(EU30))*AV30*I30),2)*BS30),2))</f>
        <v>17.739999999999998</v>
      </c>
      <c r="R30">
        <f>ROUND((ROUND((AE30*AV30*I30),2)*BS30),2)</f>
        <v>13.85</v>
      </c>
      <c r="S30">
        <f>ROUND((ROUND((AF30*AV30*I30),2)*BA30),2)</f>
        <v>6988.32</v>
      </c>
      <c r="T30">
        <f>ROUND(CU30*I30,2)</f>
        <v>0</v>
      </c>
      <c r="U30">
        <f>CV30*I30</f>
        <v>20.509999999999998</v>
      </c>
      <c r="V30">
        <f>CW30*I30</f>
        <v>0</v>
      </c>
      <c r="W30">
        <f>ROUND(CX30*I30,2)</f>
        <v>0</v>
      </c>
      <c r="X30">
        <f t="shared" si="21"/>
        <v>4891.82</v>
      </c>
      <c r="Y30">
        <f t="shared" si="21"/>
        <v>2865.21</v>
      </c>
      <c r="AA30">
        <v>53860087</v>
      </c>
      <c r="AB30">
        <f>ROUND((AC30+AD30+AF30),6)</f>
        <v>665.85</v>
      </c>
      <c r="AC30">
        <f>ROUND((ES30),6)</f>
        <v>0</v>
      </c>
      <c r="AD30">
        <f>ROUND((((ET30)-(EU30))+AE30),6)</f>
        <v>2.5</v>
      </c>
      <c r="AE30">
        <f>ROUND((EU30),6)</f>
        <v>1.31</v>
      </c>
      <c r="AF30">
        <f>ROUND((EV30),6)</f>
        <v>663.35</v>
      </c>
      <c r="AG30">
        <f>ROUND((AP30),6)</f>
        <v>0</v>
      </c>
      <c r="AH30">
        <f>(EW30)</f>
        <v>58.6</v>
      </c>
      <c r="AI30">
        <f>(EX30)</f>
        <v>0</v>
      </c>
      <c r="AJ30">
        <f>(AS30)</f>
        <v>0</v>
      </c>
      <c r="AK30">
        <v>665.85</v>
      </c>
      <c r="AL30">
        <v>0</v>
      </c>
      <c r="AM30">
        <v>2.5</v>
      </c>
      <c r="AN30">
        <v>1.31</v>
      </c>
      <c r="AO30">
        <v>663.35</v>
      </c>
      <c r="AP30">
        <v>0</v>
      </c>
      <c r="AQ30">
        <v>58.6</v>
      </c>
      <c r="AR30">
        <v>0</v>
      </c>
      <c r="AS30">
        <v>0</v>
      </c>
      <c r="AT30">
        <v>70</v>
      </c>
      <c r="AU30">
        <v>41</v>
      </c>
      <c r="AV30">
        <v>1</v>
      </c>
      <c r="AW30">
        <v>1</v>
      </c>
      <c r="AZ30">
        <v>1</v>
      </c>
      <c r="BA30">
        <v>30.1</v>
      </c>
      <c r="BB30">
        <v>20.16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29</v>
      </c>
      <c r="BM30">
        <v>419</v>
      </c>
      <c r="BN30">
        <v>36862081</v>
      </c>
      <c r="BO30" t="s">
        <v>26</v>
      </c>
      <c r="BP30">
        <v>1</v>
      </c>
      <c r="BQ30">
        <v>60</v>
      </c>
      <c r="BR30">
        <v>0</v>
      </c>
      <c r="BS30">
        <v>30.1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41</v>
      </c>
      <c r="CB30" t="s">
        <v>3</v>
      </c>
      <c r="CE30">
        <v>30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>(P30+Q30+S30)</f>
        <v>7006.0599999999995</v>
      </c>
      <c r="CQ30">
        <f>ROUND((ROUND((AC30*AW30*1),2)*BC30),2)</f>
        <v>0</v>
      </c>
      <c r="CR30">
        <f>(ROUND((ROUND(((ET30)*AV30*1),2)*BB30),2)+ROUND((ROUND(((AE30-(EU30))*AV30*1),2)*BS30),2))</f>
        <v>50.4</v>
      </c>
      <c r="CS30">
        <f>ROUND((ROUND((AE30*AV30*1),2)*BS30),2)</f>
        <v>39.43</v>
      </c>
      <c r="CT30">
        <f>ROUND((ROUND((AF30*AV30*1),2)*BA30),2)</f>
        <v>19966.84</v>
      </c>
      <c r="CU30">
        <f>AG30</f>
        <v>0</v>
      </c>
      <c r="CV30">
        <f>(AH30*AV30)</f>
        <v>58.6</v>
      </c>
      <c r="CW30">
        <f t="shared" si="22"/>
        <v>0</v>
      </c>
      <c r="CX30">
        <f t="shared" si="22"/>
        <v>0</v>
      </c>
      <c r="CY30">
        <f>S30*(BZ30/100)</f>
        <v>4891.8239999999996</v>
      </c>
      <c r="CZ30">
        <f>S30*(CA30/100)</f>
        <v>2865.2111999999997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80</v>
      </c>
      <c r="DO30">
        <v>55</v>
      </c>
      <c r="DP30">
        <v>1</v>
      </c>
      <c r="DQ30">
        <v>1</v>
      </c>
      <c r="DU30">
        <v>1005</v>
      </c>
      <c r="DV30" t="s">
        <v>28</v>
      </c>
      <c r="DW30" t="s">
        <v>28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53213168</v>
      </c>
      <c r="EF30">
        <v>60</v>
      </c>
      <c r="EG30" t="s">
        <v>22</v>
      </c>
      <c r="EH30">
        <v>0</v>
      </c>
      <c r="EI30" t="s">
        <v>3</v>
      </c>
      <c r="EJ30">
        <v>1</v>
      </c>
      <c r="EK30">
        <v>419</v>
      </c>
      <c r="EL30" t="s">
        <v>30</v>
      </c>
      <c r="EM30" t="s">
        <v>31</v>
      </c>
      <c r="EO30" t="s">
        <v>3</v>
      </c>
      <c r="EQ30">
        <v>131072</v>
      </c>
      <c r="ER30">
        <v>665.85</v>
      </c>
      <c r="ES30">
        <v>0</v>
      </c>
      <c r="ET30">
        <v>2.5</v>
      </c>
      <c r="EU30">
        <v>1.31</v>
      </c>
      <c r="EV30">
        <v>663.35</v>
      </c>
      <c r="EW30">
        <v>58.6</v>
      </c>
      <c r="EX30">
        <v>0</v>
      </c>
      <c r="EY30">
        <v>0</v>
      </c>
      <c r="FQ30">
        <v>0</v>
      </c>
      <c r="FR30">
        <f>ROUND(IF(BI30=3,GM30,0),2)</f>
        <v>0</v>
      </c>
      <c r="FS30">
        <v>0</v>
      </c>
      <c r="FX30">
        <v>80</v>
      </c>
      <c r="FY30">
        <v>55</v>
      </c>
      <c r="GA30" t="s">
        <v>3</v>
      </c>
      <c r="GD30">
        <v>0</v>
      </c>
      <c r="GF30">
        <v>2004330872</v>
      </c>
      <c r="GG30">
        <v>2</v>
      </c>
      <c r="GH30">
        <v>1</v>
      </c>
      <c r="GI30">
        <v>2</v>
      </c>
      <c r="GJ30">
        <v>0</v>
      </c>
      <c r="GK30">
        <f>ROUND(R30*(R12)/100,2)</f>
        <v>22.16</v>
      </c>
      <c r="GL30">
        <f>ROUND(IF(AND(BH30=3,BI30=3,FS30&lt;&gt;0),P30,0),2)</f>
        <v>0</v>
      </c>
      <c r="GM30">
        <f>ROUND(O30+X30+Y30+GK30,2)+GX30</f>
        <v>14785.25</v>
      </c>
      <c r="GN30">
        <f>IF(OR(BI30=0,BI30=1),GM30,0)</f>
        <v>14785.25</v>
      </c>
      <c r="GO30">
        <f>IF(BI30=2,GM30,0)</f>
        <v>0</v>
      </c>
      <c r="GP30">
        <f>IF(BI30=4,GM30+GX30,0)</f>
        <v>0</v>
      </c>
      <c r="GR30">
        <v>0</v>
      </c>
      <c r="GS30">
        <v>3</v>
      </c>
      <c r="GT30">
        <v>0</v>
      </c>
      <c r="GU30" t="s">
        <v>3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D31">
        <f>ROW(EtalonRes!A26)</f>
        <v>26</v>
      </c>
      <c r="E31" t="s">
        <v>3</v>
      </c>
      <c r="F31" t="s">
        <v>32</v>
      </c>
      <c r="G31" t="s">
        <v>33</v>
      </c>
      <c r="H31" t="s">
        <v>28</v>
      </c>
      <c r="I31">
        <f>ROUND(470/100,9)</f>
        <v>4.7</v>
      </c>
      <c r="J31">
        <v>0</v>
      </c>
      <c r="K31">
        <f>ROUND(470/100,9)</f>
        <v>4.7</v>
      </c>
      <c r="O31">
        <f>ROUND(CP31,2)</f>
        <v>147329.79999999999</v>
      </c>
      <c r="P31">
        <f>ROUND((ROUND((AC31*AW31*I31),2)*BC31),2)</f>
        <v>0</v>
      </c>
      <c r="Q31">
        <f>(ROUND((ROUND((((ET31*0.8))*AV31*I31),2)*BB31),2)+ROUND((ROUND(((AE31-((EU31*0.8)))*AV31*I31),2)*BS31),2))</f>
        <v>2202.0500000000002</v>
      </c>
      <c r="R31">
        <f>ROUND((ROUND((AE31*AV31*I31),2)*BS31),2)</f>
        <v>637.22</v>
      </c>
      <c r="S31">
        <f>ROUND((ROUND((AF31*AV31*I31),2)*BA31),2)</f>
        <v>145127.75</v>
      </c>
      <c r="T31">
        <f>ROUND(CU31*I31,2)</f>
        <v>0</v>
      </c>
      <c r="U31">
        <f>CV31*I31</f>
        <v>405.81680000000006</v>
      </c>
      <c r="V31">
        <f>CW31*I31</f>
        <v>0</v>
      </c>
      <c r="W31">
        <f>ROUND(CX31*I31,2)</f>
        <v>0</v>
      </c>
      <c r="X31">
        <f t="shared" si="21"/>
        <v>108845.81</v>
      </c>
      <c r="Y31">
        <f t="shared" si="21"/>
        <v>59502.38</v>
      </c>
      <c r="AA31">
        <v>-1</v>
      </c>
      <c r="AB31">
        <f>ROUND((AC31+AD31+AF31),6)</f>
        <v>1067.8</v>
      </c>
      <c r="AC31">
        <f>ROUND(((ES31*0)),6)</f>
        <v>0</v>
      </c>
      <c r="AD31">
        <f>ROUND(((((ET31*0.8))-((EU31*0.8)))+AE31),6)</f>
        <v>41.944000000000003</v>
      </c>
      <c r="AE31">
        <f>ROUND(((EU31*0.8)),6)</f>
        <v>4.5039999999999996</v>
      </c>
      <c r="AF31">
        <f>ROUND(((EV31*0.8)),6)</f>
        <v>1025.856</v>
      </c>
      <c r="AG31">
        <f>ROUND((AP31),6)</f>
        <v>0</v>
      </c>
      <c r="AH31">
        <f>((EW31*0.8))</f>
        <v>86.344000000000008</v>
      </c>
      <c r="AI31">
        <f>((EX31*0.8))</f>
        <v>0</v>
      </c>
      <c r="AJ31">
        <f>(AS31)</f>
        <v>0</v>
      </c>
      <c r="AK31">
        <v>9919.84</v>
      </c>
      <c r="AL31">
        <v>8585.09</v>
      </c>
      <c r="AM31">
        <v>52.43</v>
      </c>
      <c r="AN31">
        <v>5.63</v>
      </c>
      <c r="AO31">
        <v>1282.32</v>
      </c>
      <c r="AP31">
        <v>0</v>
      </c>
      <c r="AQ31">
        <v>107.93</v>
      </c>
      <c r="AR31">
        <v>0</v>
      </c>
      <c r="AS31">
        <v>0</v>
      </c>
      <c r="AT31">
        <v>75</v>
      </c>
      <c r="AU31">
        <v>41</v>
      </c>
      <c r="AV31">
        <v>1</v>
      </c>
      <c r="AW31">
        <v>1</v>
      </c>
      <c r="AZ31">
        <v>1</v>
      </c>
      <c r="BA31">
        <v>30.1</v>
      </c>
      <c r="BB31">
        <v>11.17</v>
      </c>
      <c r="BC31">
        <v>3.62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34</v>
      </c>
      <c r="BM31">
        <v>1661</v>
      </c>
      <c r="BN31">
        <v>36862081</v>
      </c>
      <c r="BO31" t="s">
        <v>32</v>
      </c>
      <c r="BP31">
        <v>1</v>
      </c>
      <c r="BQ31">
        <v>30</v>
      </c>
      <c r="BR31">
        <v>0</v>
      </c>
      <c r="BS31">
        <v>30.1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75</v>
      </c>
      <c r="CA31">
        <v>41</v>
      </c>
      <c r="CB31" t="s">
        <v>3</v>
      </c>
      <c r="CE31">
        <v>30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147329.79999999999</v>
      </c>
      <c r="CQ31">
        <f>ROUND((ROUND((AC31*AW31*1),2)*BC31),2)</f>
        <v>0</v>
      </c>
      <c r="CR31">
        <f>(ROUND((ROUND((((ET31*0.8))*AV31*1),2)*BB31),2)+ROUND((ROUND(((AE31-((EU31*0.8)))*AV31*1),2)*BS31),2))</f>
        <v>468.47</v>
      </c>
      <c r="CS31">
        <f>ROUND((ROUND((AE31*AV31*1),2)*BS31),2)</f>
        <v>135.44999999999999</v>
      </c>
      <c r="CT31">
        <f>ROUND((ROUND((AF31*AV31*1),2)*BA31),2)</f>
        <v>30878.39</v>
      </c>
      <c r="CU31">
        <f>AG31</f>
        <v>0</v>
      </c>
      <c r="CV31">
        <f>(AH31*AV31)</f>
        <v>86.344000000000008</v>
      </c>
      <c r="CW31">
        <f t="shared" si="22"/>
        <v>0</v>
      </c>
      <c r="CX31">
        <f t="shared" si="22"/>
        <v>0</v>
      </c>
      <c r="CY31">
        <f>S31*(BZ31/100)</f>
        <v>108845.8125</v>
      </c>
      <c r="CZ31">
        <f>S31*(CA31/100)</f>
        <v>59502.377499999995</v>
      </c>
      <c r="DC31" t="s">
        <v>3</v>
      </c>
      <c r="DD31" t="s">
        <v>35</v>
      </c>
      <c r="DE31" t="s">
        <v>36</v>
      </c>
      <c r="DF31" t="s">
        <v>36</v>
      </c>
      <c r="DG31" t="s">
        <v>36</v>
      </c>
      <c r="DH31" t="s">
        <v>3</v>
      </c>
      <c r="DI31" t="s">
        <v>36</v>
      </c>
      <c r="DJ31" t="s">
        <v>36</v>
      </c>
      <c r="DK31" t="s">
        <v>3</v>
      </c>
      <c r="DL31" t="s">
        <v>3</v>
      </c>
      <c r="DM31" t="s">
        <v>3</v>
      </c>
      <c r="DN31">
        <v>91</v>
      </c>
      <c r="DO31">
        <v>70</v>
      </c>
      <c r="DP31">
        <v>1</v>
      </c>
      <c r="DQ31">
        <v>1</v>
      </c>
      <c r="DU31">
        <v>1005</v>
      </c>
      <c r="DV31" t="s">
        <v>28</v>
      </c>
      <c r="DW31" t="s">
        <v>28</v>
      </c>
      <c r="DX31">
        <v>100</v>
      </c>
      <c r="DZ31" t="s">
        <v>3</v>
      </c>
      <c r="EA31" t="s">
        <v>3</v>
      </c>
      <c r="EB31" t="s">
        <v>3</v>
      </c>
      <c r="EC31" t="s">
        <v>3</v>
      </c>
      <c r="EE31">
        <v>53214410</v>
      </c>
      <c r="EF31">
        <v>30</v>
      </c>
      <c r="EG31" t="s">
        <v>37</v>
      </c>
      <c r="EH31">
        <v>0</v>
      </c>
      <c r="EI31" t="s">
        <v>3</v>
      </c>
      <c r="EJ31">
        <v>1</v>
      </c>
      <c r="EK31">
        <v>1661</v>
      </c>
      <c r="EL31" t="s">
        <v>38</v>
      </c>
      <c r="EM31" t="s">
        <v>39</v>
      </c>
      <c r="EO31" t="s">
        <v>3</v>
      </c>
      <c r="EQ31">
        <v>132096</v>
      </c>
      <c r="ER31">
        <v>9919.84</v>
      </c>
      <c r="ES31">
        <v>8585.09</v>
      </c>
      <c r="ET31">
        <v>52.43</v>
      </c>
      <c r="EU31">
        <v>5.63</v>
      </c>
      <c r="EV31">
        <v>1282.32</v>
      </c>
      <c r="EW31">
        <v>107.93</v>
      </c>
      <c r="EX31">
        <v>0</v>
      </c>
      <c r="EY31">
        <v>0</v>
      </c>
      <c r="FQ31">
        <v>0</v>
      </c>
      <c r="FR31">
        <f>ROUND(IF(BI31=3,GM31,0),2)</f>
        <v>0</v>
      </c>
      <c r="FS31">
        <v>0</v>
      </c>
      <c r="FX31">
        <v>91</v>
      </c>
      <c r="FY31">
        <v>70</v>
      </c>
      <c r="GA31" t="s">
        <v>3</v>
      </c>
      <c r="GD31">
        <v>0</v>
      </c>
      <c r="GF31">
        <v>-1561733166</v>
      </c>
      <c r="GG31">
        <v>2</v>
      </c>
      <c r="GH31">
        <v>1</v>
      </c>
      <c r="GI31">
        <v>2</v>
      </c>
      <c r="GJ31">
        <v>0</v>
      </c>
      <c r="GK31">
        <f>ROUND(R31*(R12)/100,2)</f>
        <v>1019.55</v>
      </c>
      <c r="GL31">
        <f>ROUND(IF(AND(BH31=3,BI31=3,FS31&lt;&gt;0),P31,0),2)</f>
        <v>0</v>
      </c>
      <c r="GM31">
        <f>ROUND(O31+X31+Y31+GK31,2)+GX31</f>
        <v>316697.53999999998</v>
      </c>
      <c r="GN31">
        <f>IF(OR(BI31=0,BI31=1),GM31,0)</f>
        <v>316697.53999999998</v>
      </c>
      <c r="GO31">
        <f>IF(BI31=2,GM31,0)</f>
        <v>0</v>
      </c>
      <c r="GP31">
        <f>IF(BI31=4,GM31+GX31,0)</f>
        <v>0</v>
      </c>
      <c r="GR31">
        <v>0</v>
      </c>
      <c r="GS31">
        <v>3</v>
      </c>
      <c r="GT31">
        <v>0</v>
      </c>
      <c r="GU31" t="s">
        <v>3</v>
      </c>
      <c r="GV31">
        <f>ROUND((GT31),6)</f>
        <v>0</v>
      </c>
      <c r="GW31">
        <v>1</v>
      </c>
      <c r="GX31">
        <f>ROUND(HC31*I31,2)</f>
        <v>0</v>
      </c>
      <c r="HA31">
        <v>0</v>
      </c>
      <c r="HB31">
        <v>0</v>
      </c>
      <c r="HC31">
        <f>GV31*GW31</f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C32">
        <f>ROW(SmtRes!A6)</f>
        <v>6</v>
      </c>
      <c r="D32">
        <f>ROW(EtalonRes!A29)</f>
        <v>29</v>
      </c>
      <c r="E32" t="s">
        <v>40</v>
      </c>
      <c r="F32" t="s">
        <v>41</v>
      </c>
      <c r="G32" t="s">
        <v>42</v>
      </c>
      <c r="H32" t="s">
        <v>28</v>
      </c>
      <c r="I32">
        <f>ROUND(40/100,9)</f>
        <v>0.4</v>
      </c>
      <c r="J32">
        <v>0</v>
      </c>
      <c r="K32">
        <f>ROUND(40/100,9)</f>
        <v>0.4</v>
      </c>
      <c r="O32">
        <f>ROUND(CP32,2)</f>
        <v>5386.92</v>
      </c>
      <c r="P32">
        <f>ROUND((ROUND((AC32*AW32*I32),2)*BC32),2)</f>
        <v>0</v>
      </c>
      <c r="Q32">
        <f>(ROUND((ROUND(((ET32)*AV32*I32),2)*BB32),2)+ROUND((ROUND(((AE32-(EU32))*AV32*I32),2)*BS32),2))</f>
        <v>13.17</v>
      </c>
      <c r="R32">
        <f>ROUND((ROUND((AE32*AV32*I32),2)*BS32),2)</f>
        <v>0</v>
      </c>
      <c r="S32">
        <f>ROUND((ROUND((AF32*AV32*I32),2)*BA32),2)</f>
        <v>5373.75</v>
      </c>
      <c r="T32">
        <f>ROUND(CU32*I32,2)</f>
        <v>0</v>
      </c>
      <c r="U32">
        <f>CV32*I32</f>
        <v>16.024000000000001</v>
      </c>
      <c r="V32">
        <f>CW32*I32</f>
        <v>0</v>
      </c>
      <c r="W32">
        <f>ROUND(CX32*I32,2)</f>
        <v>0</v>
      </c>
      <c r="X32">
        <f t="shared" si="21"/>
        <v>4460.21</v>
      </c>
      <c r="Y32">
        <f t="shared" si="21"/>
        <v>2203.2399999999998</v>
      </c>
      <c r="AA32">
        <v>53860087</v>
      </c>
      <c r="AB32">
        <f>ROUND((AC32+AD32+AF32),6)</f>
        <v>450.17</v>
      </c>
      <c r="AC32">
        <f>ROUND((ES32),6)</f>
        <v>0</v>
      </c>
      <c r="AD32">
        <f>ROUND((((ET32)-(EU32))+AE32),6)</f>
        <v>3.85</v>
      </c>
      <c r="AE32">
        <f>ROUND((EU32),6)</f>
        <v>0</v>
      </c>
      <c r="AF32">
        <f>ROUND((EV32),6)</f>
        <v>446.32</v>
      </c>
      <c r="AG32">
        <f>ROUND((AP32),6)</f>
        <v>0</v>
      </c>
      <c r="AH32">
        <f>(EW32)</f>
        <v>40.06</v>
      </c>
      <c r="AI32">
        <f>(EX32)</f>
        <v>0</v>
      </c>
      <c r="AJ32">
        <f>(AS32)</f>
        <v>0</v>
      </c>
      <c r="AK32">
        <v>450.17</v>
      </c>
      <c r="AL32">
        <v>0</v>
      </c>
      <c r="AM32">
        <v>3.85</v>
      </c>
      <c r="AN32">
        <v>0</v>
      </c>
      <c r="AO32">
        <v>446.32</v>
      </c>
      <c r="AP32">
        <v>0</v>
      </c>
      <c r="AQ32">
        <v>40.06</v>
      </c>
      <c r="AR32">
        <v>0</v>
      </c>
      <c r="AS32">
        <v>0</v>
      </c>
      <c r="AT32">
        <v>83</v>
      </c>
      <c r="AU32">
        <v>41</v>
      </c>
      <c r="AV32">
        <v>1</v>
      </c>
      <c r="AW32">
        <v>1</v>
      </c>
      <c r="AZ32">
        <v>1</v>
      </c>
      <c r="BA32">
        <v>30.1</v>
      </c>
      <c r="BB32">
        <v>8.5500000000000007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43</v>
      </c>
      <c r="BM32">
        <v>2128</v>
      </c>
      <c r="BN32">
        <v>36862081</v>
      </c>
      <c r="BO32" t="s">
        <v>41</v>
      </c>
      <c r="BP32">
        <v>1</v>
      </c>
      <c r="BQ32">
        <v>60</v>
      </c>
      <c r="BR32">
        <v>0</v>
      </c>
      <c r="BS32">
        <v>30.1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83</v>
      </c>
      <c r="CA32">
        <v>41</v>
      </c>
      <c r="CB32" t="s">
        <v>3</v>
      </c>
      <c r="CE32">
        <v>30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>(P32+Q32+S32)</f>
        <v>5386.92</v>
      </c>
      <c r="CQ32">
        <f>ROUND((ROUND((AC32*AW32*1),2)*BC32),2)</f>
        <v>0</v>
      </c>
      <c r="CR32">
        <f>(ROUND((ROUND(((ET32)*AV32*1),2)*BB32),2)+ROUND((ROUND(((AE32-(EU32))*AV32*1),2)*BS32),2))</f>
        <v>32.92</v>
      </c>
      <c r="CS32">
        <f>ROUND((ROUND((AE32*AV32*1),2)*BS32),2)</f>
        <v>0</v>
      </c>
      <c r="CT32">
        <f>ROUND((ROUND((AF32*AV32*1),2)*BA32),2)</f>
        <v>13434.23</v>
      </c>
      <c r="CU32">
        <f>AG32</f>
        <v>0</v>
      </c>
      <c r="CV32">
        <f>(AH32*AV32)</f>
        <v>40.06</v>
      </c>
      <c r="CW32">
        <f t="shared" si="22"/>
        <v>0</v>
      </c>
      <c r="CX32">
        <f t="shared" si="22"/>
        <v>0</v>
      </c>
      <c r="CY32">
        <f>S32*(BZ32/100)</f>
        <v>4460.2124999999996</v>
      </c>
      <c r="CZ32">
        <f>S32*(CA32/100)</f>
        <v>2203.2374999999997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100</v>
      </c>
      <c r="DO32">
        <v>64</v>
      </c>
      <c r="DP32">
        <v>1</v>
      </c>
      <c r="DQ32">
        <v>1</v>
      </c>
      <c r="DU32">
        <v>1005</v>
      </c>
      <c r="DV32" t="s">
        <v>28</v>
      </c>
      <c r="DW32" t="s">
        <v>28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53214910</v>
      </c>
      <c r="EF32">
        <v>60</v>
      </c>
      <c r="EG32" t="s">
        <v>22</v>
      </c>
      <c r="EH32">
        <v>0</v>
      </c>
      <c r="EI32" t="s">
        <v>3</v>
      </c>
      <c r="EJ32">
        <v>1</v>
      </c>
      <c r="EK32">
        <v>2128</v>
      </c>
      <c r="EL32" t="s">
        <v>44</v>
      </c>
      <c r="EM32" t="s">
        <v>45</v>
      </c>
      <c r="EO32" t="s">
        <v>3</v>
      </c>
      <c r="EQ32">
        <v>131072</v>
      </c>
      <c r="ER32">
        <v>450.17</v>
      </c>
      <c r="ES32">
        <v>0</v>
      </c>
      <c r="ET32">
        <v>3.85</v>
      </c>
      <c r="EU32">
        <v>0</v>
      </c>
      <c r="EV32">
        <v>446.32</v>
      </c>
      <c r="EW32">
        <v>40.06</v>
      </c>
      <c r="EX32">
        <v>0</v>
      </c>
      <c r="EY32">
        <v>0</v>
      </c>
      <c r="FQ32">
        <v>0</v>
      </c>
      <c r="FR32">
        <f>ROUND(IF(BI32=3,GM32,0),2)</f>
        <v>0</v>
      </c>
      <c r="FS32">
        <v>0</v>
      </c>
      <c r="FX32">
        <v>100</v>
      </c>
      <c r="FY32">
        <v>64</v>
      </c>
      <c r="GA32" t="s">
        <v>3</v>
      </c>
      <c r="GD32">
        <v>0</v>
      </c>
      <c r="GF32">
        <v>-1836909313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>ROUND(IF(AND(BH32=3,BI32=3,FS32&lt;&gt;0),P32,0),2)</f>
        <v>0</v>
      </c>
      <c r="GM32">
        <f>ROUND(O32+X32+Y32+GK32,2)+GX32</f>
        <v>12050.37</v>
      </c>
      <c r="GN32">
        <f>IF(OR(BI32=0,BI32=1),GM32,0)</f>
        <v>12050.37</v>
      </c>
      <c r="GO32">
        <f>IF(BI32=2,GM32,0)</f>
        <v>0</v>
      </c>
      <c r="GP32">
        <f>IF(BI32=4,GM32+GX32,0)</f>
        <v>0</v>
      </c>
      <c r="GR32">
        <v>0</v>
      </c>
      <c r="GS32">
        <v>3</v>
      </c>
      <c r="GT32">
        <v>0</v>
      </c>
      <c r="GU32" t="s">
        <v>3</v>
      </c>
      <c r="GV32">
        <f>ROUND((GT32),6)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19</v>
      </c>
      <c r="B33">
        <v>1</v>
      </c>
      <c r="F33" t="s">
        <v>3</v>
      </c>
      <c r="G33" t="s">
        <v>46</v>
      </c>
      <c r="H33" t="s">
        <v>3</v>
      </c>
      <c r="AA33">
        <v>1</v>
      </c>
      <c r="IK33">
        <v>0</v>
      </c>
    </row>
    <row r="34" spans="1:245" x14ac:dyDescent="0.2">
      <c r="A34">
        <v>17</v>
      </c>
      <c r="B34">
        <v>1</v>
      </c>
      <c r="C34">
        <f>ROW(SmtRes!A10)</f>
        <v>10</v>
      </c>
      <c r="D34">
        <f>ROW(EtalonRes!A33)</f>
        <v>33</v>
      </c>
      <c r="E34" t="s">
        <v>47</v>
      </c>
      <c r="F34" t="s">
        <v>48</v>
      </c>
      <c r="G34" t="s">
        <v>49</v>
      </c>
      <c r="H34" t="s">
        <v>28</v>
      </c>
      <c r="I34">
        <f>ROUND(45/100,9)</f>
        <v>0.45</v>
      </c>
      <c r="J34">
        <v>0</v>
      </c>
      <c r="K34">
        <f>ROUND(45/100,9)</f>
        <v>0.45</v>
      </c>
      <c r="O34">
        <f t="shared" ref="O34:O61" si="23">ROUND(CP34,2)</f>
        <v>994.74</v>
      </c>
      <c r="P34">
        <f t="shared" ref="P34:P61" si="24">ROUND((ROUND((AC34*AW34*I34),2)*BC34),2)</f>
        <v>0</v>
      </c>
      <c r="Q34">
        <f>(ROUND((ROUND((((ET34*1.25))*AV34*I34),2)*BB34),2)+ROUND((ROUND(((AE34-((EU34*1.25)))*AV34*I34),2)*BS34),2))</f>
        <v>5.65</v>
      </c>
      <c r="R34">
        <f t="shared" ref="R34:R61" si="25">ROUND((ROUND((AE34*AV34*I34),2)*BS34),2)</f>
        <v>2.11</v>
      </c>
      <c r="S34">
        <f t="shared" ref="S34:S61" si="26">ROUND((ROUND((AF34*AV34*I34),2)*BA34),2)</f>
        <v>989.09</v>
      </c>
      <c r="T34">
        <f t="shared" ref="T34:T61" si="27">ROUND(CU34*I34,2)</f>
        <v>0</v>
      </c>
      <c r="U34">
        <f t="shared" ref="U34:U61" si="28">CV34*I34</f>
        <v>2.9393999999999996</v>
      </c>
      <c r="V34">
        <f t="shared" ref="V34:V61" si="29">CW34*I34</f>
        <v>0</v>
      </c>
      <c r="W34">
        <f t="shared" ref="W34:W61" si="30">ROUND(CX34*I34,2)</f>
        <v>0</v>
      </c>
      <c r="X34">
        <f t="shared" ref="X34:X61" si="31">ROUND(CY34,2)</f>
        <v>820.94</v>
      </c>
      <c r="Y34">
        <f t="shared" ref="Y34:Y61" si="32">ROUND(CZ34,2)</f>
        <v>405.53</v>
      </c>
      <c r="AA34">
        <v>53860087</v>
      </c>
      <c r="AB34">
        <f t="shared" ref="AB34:AB61" si="33">ROUND((AC34+AD34+AF34),6)</f>
        <v>74.063500000000005</v>
      </c>
      <c r="AC34">
        <f t="shared" ref="AC34:AC61" si="34">ROUND((ES34),6)</f>
        <v>0</v>
      </c>
      <c r="AD34">
        <f>ROUND(((((ET34*1.25))-((EU34*1.25)))+AE34),6)</f>
        <v>1.05</v>
      </c>
      <c r="AE34">
        <f>ROUND(((EU34*1.25)),6)</f>
        <v>0.16250000000000001</v>
      </c>
      <c r="AF34">
        <f>ROUND(((EV34*1.15)),6)</f>
        <v>73.013499999999993</v>
      </c>
      <c r="AG34">
        <f t="shared" ref="AG34:AG61" si="35">ROUND((AP34),6)</f>
        <v>0</v>
      </c>
      <c r="AH34">
        <f>((EW34*1.15))</f>
        <v>6.5319999999999991</v>
      </c>
      <c r="AI34">
        <f>((EX34*1.25))</f>
        <v>0</v>
      </c>
      <c r="AJ34">
        <f t="shared" ref="AJ34:AJ61" si="36">(AS34)</f>
        <v>0</v>
      </c>
      <c r="AK34">
        <v>64.33</v>
      </c>
      <c r="AL34">
        <v>0</v>
      </c>
      <c r="AM34">
        <v>0.84</v>
      </c>
      <c r="AN34">
        <v>0.13</v>
      </c>
      <c r="AO34">
        <v>63.49</v>
      </c>
      <c r="AP34">
        <v>0</v>
      </c>
      <c r="AQ34">
        <v>5.68</v>
      </c>
      <c r="AR34">
        <v>0</v>
      </c>
      <c r="AS34">
        <v>0</v>
      </c>
      <c r="AT34">
        <v>83</v>
      </c>
      <c r="AU34">
        <v>41</v>
      </c>
      <c r="AV34">
        <v>1</v>
      </c>
      <c r="AW34">
        <v>1</v>
      </c>
      <c r="AZ34">
        <v>1</v>
      </c>
      <c r="BA34">
        <v>30.1</v>
      </c>
      <c r="BB34">
        <v>12.02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50</v>
      </c>
      <c r="BM34">
        <v>1523</v>
      </c>
      <c r="BN34">
        <v>36862081</v>
      </c>
      <c r="BO34" t="s">
        <v>48</v>
      </c>
      <c r="BP34">
        <v>1</v>
      </c>
      <c r="BQ34">
        <v>30</v>
      </c>
      <c r="BR34">
        <v>0</v>
      </c>
      <c r="BS34">
        <v>30.1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83</v>
      </c>
      <c r="CA34">
        <v>41</v>
      </c>
      <c r="CB34" t="s">
        <v>3</v>
      </c>
      <c r="CE34">
        <v>30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ref="CP34:CP61" si="37">(P34+Q34+S34)</f>
        <v>994.74</v>
      </c>
      <c r="CQ34">
        <f t="shared" ref="CQ34:CQ61" si="38">ROUND((ROUND((AC34*AW34*1),2)*BC34),2)</f>
        <v>0</v>
      </c>
      <c r="CR34">
        <f>(ROUND((ROUND((((ET34*1.25))*AV34*1),2)*BB34),2)+ROUND((ROUND(((AE34-((EU34*1.25)))*AV34*1),2)*BS34),2))</f>
        <v>12.62</v>
      </c>
      <c r="CS34">
        <f t="shared" ref="CS34:CS61" si="39">ROUND((ROUND((AE34*AV34*1),2)*BS34),2)</f>
        <v>4.82</v>
      </c>
      <c r="CT34">
        <f t="shared" ref="CT34:CT61" si="40">ROUND((ROUND((AF34*AV34*1),2)*BA34),2)</f>
        <v>2197.6</v>
      </c>
      <c r="CU34">
        <f t="shared" ref="CU34:CU61" si="41">AG34</f>
        <v>0</v>
      </c>
      <c r="CV34">
        <f t="shared" ref="CV34:CV61" si="42">(AH34*AV34)</f>
        <v>6.5319999999999991</v>
      </c>
      <c r="CW34">
        <f t="shared" ref="CW34:CW61" si="43">AI34</f>
        <v>0</v>
      </c>
      <c r="CX34">
        <f t="shared" ref="CX34:CX61" si="44">AJ34</f>
        <v>0</v>
      </c>
      <c r="CY34">
        <f t="shared" ref="CY34:CY61" si="45">S34*(BZ34/100)</f>
        <v>820.94470000000001</v>
      </c>
      <c r="CZ34">
        <f t="shared" ref="CZ34:CZ61" si="46">S34*(CA34/100)</f>
        <v>405.52690000000001</v>
      </c>
      <c r="DC34" t="s">
        <v>3</v>
      </c>
      <c r="DD34" t="s">
        <v>3</v>
      </c>
      <c r="DE34" t="s">
        <v>51</v>
      </c>
      <c r="DF34" t="s">
        <v>51</v>
      </c>
      <c r="DG34" t="s">
        <v>52</v>
      </c>
      <c r="DH34" t="s">
        <v>3</v>
      </c>
      <c r="DI34" t="s">
        <v>52</v>
      </c>
      <c r="DJ34" t="s">
        <v>51</v>
      </c>
      <c r="DK34" t="s">
        <v>3</v>
      </c>
      <c r="DL34" t="s">
        <v>3</v>
      </c>
      <c r="DM34" t="s">
        <v>3</v>
      </c>
      <c r="DN34">
        <v>100</v>
      </c>
      <c r="DO34">
        <v>64</v>
      </c>
      <c r="DP34">
        <v>1</v>
      </c>
      <c r="DQ34">
        <v>1</v>
      </c>
      <c r="DU34">
        <v>1005</v>
      </c>
      <c r="DV34" t="s">
        <v>28</v>
      </c>
      <c r="DW34" t="s">
        <v>28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53214272</v>
      </c>
      <c r="EF34">
        <v>30</v>
      </c>
      <c r="EG34" t="s">
        <v>37</v>
      </c>
      <c r="EH34">
        <v>0</v>
      </c>
      <c r="EI34" t="s">
        <v>3</v>
      </c>
      <c r="EJ34">
        <v>1</v>
      </c>
      <c r="EK34">
        <v>1523</v>
      </c>
      <c r="EL34" t="s">
        <v>53</v>
      </c>
      <c r="EM34" t="s">
        <v>54</v>
      </c>
      <c r="EO34" t="s">
        <v>3</v>
      </c>
      <c r="EQ34">
        <v>0</v>
      </c>
      <c r="ER34">
        <v>64.33</v>
      </c>
      <c r="ES34">
        <v>0</v>
      </c>
      <c r="ET34">
        <v>0.84</v>
      </c>
      <c r="EU34">
        <v>0.13</v>
      </c>
      <c r="EV34">
        <v>63.49</v>
      </c>
      <c r="EW34">
        <v>5.68</v>
      </c>
      <c r="EX34">
        <v>0</v>
      </c>
      <c r="EY34">
        <v>0</v>
      </c>
      <c r="FQ34">
        <v>0</v>
      </c>
      <c r="FR34">
        <f t="shared" ref="FR34:FR61" si="47">ROUND(IF(BI34=3,GM34,0),2)</f>
        <v>0</v>
      </c>
      <c r="FS34">
        <v>0</v>
      </c>
      <c r="FX34">
        <v>100</v>
      </c>
      <c r="FY34">
        <v>64</v>
      </c>
      <c r="GA34" t="s">
        <v>3</v>
      </c>
      <c r="GD34">
        <v>0</v>
      </c>
      <c r="GF34">
        <v>872283437</v>
      </c>
      <c r="GG34">
        <v>2</v>
      </c>
      <c r="GH34">
        <v>1</v>
      </c>
      <c r="GI34">
        <v>2</v>
      </c>
      <c r="GJ34">
        <v>0</v>
      </c>
      <c r="GK34">
        <f>ROUND(R34*(R12)/100,2)</f>
        <v>3.38</v>
      </c>
      <c r="GL34">
        <f t="shared" ref="GL34:GL61" si="48">ROUND(IF(AND(BH34=3,BI34=3,FS34&lt;&gt;0),P34,0),2)</f>
        <v>0</v>
      </c>
      <c r="GM34">
        <f t="shared" ref="GM34:GM44" si="49">ROUND(O34+X34+Y34+GK34,2)+GX34</f>
        <v>2224.59</v>
      </c>
      <c r="GN34">
        <f t="shared" ref="GN34:GN61" si="50">IF(OR(BI34=0,BI34=1),GM34,0)</f>
        <v>2224.59</v>
      </c>
      <c r="GO34">
        <f t="shared" ref="GO34:GO61" si="51">IF(BI34=2,GM34,0)</f>
        <v>0</v>
      </c>
      <c r="GP34">
        <f t="shared" ref="GP34:GP61" si="52">IF(BI34=4,GM34+GX34,0)</f>
        <v>0</v>
      </c>
      <c r="GR34">
        <v>0</v>
      </c>
      <c r="GS34">
        <v>3</v>
      </c>
      <c r="GT34">
        <v>0</v>
      </c>
      <c r="GU34" t="s">
        <v>3</v>
      </c>
      <c r="GV34">
        <f t="shared" ref="GV34:GV61" si="53">ROUND((GT34),6)</f>
        <v>0</v>
      </c>
      <c r="GW34">
        <v>1</v>
      </c>
      <c r="GX34">
        <f t="shared" ref="GX34:GX61" si="54">ROUND(HC34*I34,2)</f>
        <v>0</v>
      </c>
      <c r="HA34">
        <v>0</v>
      </c>
      <c r="HB34">
        <v>0</v>
      </c>
      <c r="HC34">
        <f t="shared" ref="HC34:HC61" si="55">GV34*GW34</f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18</v>
      </c>
      <c r="B35">
        <v>1</v>
      </c>
      <c r="C35">
        <v>10</v>
      </c>
      <c r="E35" t="s">
        <v>55</v>
      </c>
      <c r="F35" t="s">
        <v>56</v>
      </c>
      <c r="G35" t="s">
        <v>57</v>
      </c>
      <c r="H35" t="s">
        <v>58</v>
      </c>
      <c r="I35">
        <f>I34*J35</f>
        <v>4.6349999999999998</v>
      </c>
      <c r="J35">
        <v>10.299999999999999</v>
      </c>
      <c r="K35">
        <v>10.3</v>
      </c>
      <c r="O35">
        <f t="shared" si="23"/>
        <v>480.87</v>
      </c>
      <c r="P35">
        <f t="shared" si="24"/>
        <v>480.87</v>
      </c>
      <c r="Q35">
        <f>(ROUND((ROUND(((ET35)*AV35*I35),2)*BB35),2)+ROUND((ROUND(((AE35-(EU35))*AV35*I35),2)*BS35),2))</f>
        <v>0</v>
      </c>
      <c r="R35">
        <f t="shared" si="25"/>
        <v>0</v>
      </c>
      <c r="S35">
        <f t="shared" si="26"/>
        <v>0</v>
      </c>
      <c r="T35">
        <f t="shared" si="27"/>
        <v>0</v>
      </c>
      <c r="U35">
        <f t="shared" si="28"/>
        <v>0</v>
      </c>
      <c r="V35">
        <f t="shared" si="29"/>
        <v>0</v>
      </c>
      <c r="W35">
        <f t="shared" si="30"/>
        <v>0</v>
      </c>
      <c r="X35">
        <f t="shared" si="31"/>
        <v>0</v>
      </c>
      <c r="Y35">
        <f t="shared" si="32"/>
        <v>0</v>
      </c>
      <c r="AA35">
        <v>53860087</v>
      </c>
      <c r="AB35">
        <f t="shared" si="33"/>
        <v>28.98</v>
      </c>
      <c r="AC35">
        <f t="shared" si="34"/>
        <v>28.98</v>
      </c>
      <c r="AD35">
        <f>ROUND((((ET35)-(EU35))+AE35),6)</f>
        <v>0</v>
      </c>
      <c r="AE35">
        <f>ROUND((EU35),6)</f>
        <v>0</v>
      </c>
      <c r="AF35">
        <f>ROUND((EV35),6)</f>
        <v>0</v>
      </c>
      <c r="AG35">
        <f t="shared" si="35"/>
        <v>0</v>
      </c>
      <c r="AH35">
        <f>(EW35)</f>
        <v>0</v>
      </c>
      <c r="AI35">
        <f>(EX35)</f>
        <v>0</v>
      </c>
      <c r="AJ35">
        <f t="shared" si="36"/>
        <v>0</v>
      </c>
      <c r="AK35">
        <v>28.98</v>
      </c>
      <c r="AL35">
        <v>28.98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3.58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1</v>
      </c>
      <c r="BJ35" t="s">
        <v>59</v>
      </c>
      <c r="BM35">
        <v>1523</v>
      </c>
      <c r="BN35">
        <v>36862081</v>
      </c>
      <c r="BO35" t="s">
        <v>56</v>
      </c>
      <c r="BP35">
        <v>1</v>
      </c>
      <c r="BQ35">
        <v>30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B35" t="s">
        <v>3</v>
      </c>
      <c r="CE35">
        <v>30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7"/>
        <v>480.87</v>
      </c>
      <c r="CQ35">
        <f t="shared" si="38"/>
        <v>103.75</v>
      </c>
      <c r="CR35">
        <f>(ROUND((ROUND(((ET35)*AV35*1),2)*BB35),2)+ROUND((ROUND(((AE35-(EU35))*AV35*1),2)*BS35),2))</f>
        <v>0</v>
      </c>
      <c r="CS35">
        <f t="shared" si="39"/>
        <v>0</v>
      </c>
      <c r="CT35">
        <f t="shared" si="40"/>
        <v>0</v>
      </c>
      <c r="CU35">
        <f t="shared" si="41"/>
        <v>0</v>
      </c>
      <c r="CV35">
        <f t="shared" si="42"/>
        <v>0</v>
      </c>
      <c r="CW35">
        <f t="shared" si="43"/>
        <v>0</v>
      </c>
      <c r="CX35">
        <f t="shared" si="44"/>
        <v>0</v>
      </c>
      <c r="CY35">
        <f t="shared" si="45"/>
        <v>0</v>
      </c>
      <c r="CZ35">
        <f t="shared" si="46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100</v>
      </c>
      <c r="DO35">
        <v>64</v>
      </c>
      <c r="DP35">
        <v>1</v>
      </c>
      <c r="DQ35">
        <v>1</v>
      </c>
      <c r="DU35">
        <v>1009</v>
      </c>
      <c r="DV35" t="s">
        <v>58</v>
      </c>
      <c r="DW35" t="s">
        <v>58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53214272</v>
      </c>
      <c r="EF35">
        <v>30</v>
      </c>
      <c r="EG35" t="s">
        <v>37</v>
      </c>
      <c r="EH35">
        <v>0</v>
      </c>
      <c r="EI35" t="s">
        <v>3</v>
      </c>
      <c r="EJ35">
        <v>1</v>
      </c>
      <c r="EK35">
        <v>1523</v>
      </c>
      <c r="EL35" t="s">
        <v>53</v>
      </c>
      <c r="EM35" t="s">
        <v>54</v>
      </c>
      <c r="EO35" t="s">
        <v>3</v>
      </c>
      <c r="EQ35">
        <v>0</v>
      </c>
      <c r="ER35">
        <v>28.98</v>
      </c>
      <c r="ES35">
        <v>28.98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47"/>
        <v>0</v>
      </c>
      <c r="FS35">
        <v>0</v>
      </c>
      <c r="FX35">
        <v>100</v>
      </c>
      <c r="FY35">
        <v>64</v>
      </c>
      <c r="GA35" t="s">
        <v>3</v>
      </c>
      <c r="GD35">
        <v>0</v>
      </c>
      <c r="GF35">
        <v>33071459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48"/>
        <v>0</v>
      </c>
      <c r="GM35">
        <f t="shared" si="49"/>
        <v>480.87</v>
      </c>
      <c r="GN35">
        <f t="shared" si="50"/>
        <v>480.87</v>
      </c>
      <c r="GO35">
        <f t="shared" si="51"/>
        <v>0</v>
      </c>
      <c r="GP35">
        <f t="shared" si="52"/>
        <v>0</v>
      </c>
      <c r="GR35">
        <v>0</v>
      </c>
      <c r="GS35">
        <v>3</v>
      </c>
      <c r="GT35">
        <v>0</v>
      </c>
      <c r="GU35" t="s">
        <v>3</v>
      </c>
      <c r="GV35">
        <f t="shared" si="53"/>
        <v>0</v>
      </c>
      <c r="GW35">
        <v>1</v>
      </c>
      <c r="GX35">
        <f t="shared" si="54"/>
        <v>0</v>
      </c>
      <c r="HA35">
        <v>0</v>
      </c>
      <c r="HB35">
        <v>0</v>
      </c>
      <c r="HC35">
        <f t="shared" si="55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1</v>
      </c>
      <c r="C36">
        <f>ROW(SmtRes!A15)</f>
        <v>15</v>
      </c>
      <c r="D36">
        <f>ROW(EtalonRes!A40)</f>
        <v>40</v>
      </c>
      <c r="E36" t="s">
        <v>60</v>
      </c>
      <c r="F36" t="s">
        <v>61</v>
      </c>
      <c r="G36" t="s">
        <v>62</v>
      </c>
      <c r="H36" t="s">
        <v>63</v>
      </c>
      <c r="I36">
        <f>ROUND(45/100,9)</f>
        <v>0.45</v>
      </c>
      <c r="J36">
        <v>0</v>
      </c>
      <c r="K36">
        <f>ROUND(45/100,9)</f>
        <v>0.45</v>
      </c>
      <c r="O36">
        <f t="shared" si="23"/>
        <v>8346.51</v>
      </c>
      <c r="P36">
        <f t="shared" si="24"/>
        <v>0</v>
      </c>
      <c r="Q36">
        <f>(ROUND((ROUND((((ET36*1.25))*AV36*I36),2)*BB36),2)+ROUND((ROUND(((AE36-((EU36*1.25)))*AV36*I36),2)*BS36),2))</f>
        <v>306.5</v>
      </c>
      <c r="R36">
        <f t="shared" si="25"/>
        <v>151.1</v>
      </c>
      <c r="S36">
        <f t="shared" si="26"/>
        <v>8040.01</v>
      </c>
      <c r="T36">
        <f t="shared" si="27"/>
        <v>0</v>
      </c>
      <c r="U36">
        <f t="shared" si="28"/>
        <v>23.287499999999998</v>
      </c>
      <c r="V36">
        <f t="shared" si="29"/>
        <v>0</v>
      </c>
      <c r="W36">
        <f t="shared" si="30"/>
        <v>0</v>
      </c>
      <c r="X36">
        <f t="shared" si="31"/>
        <v>6673.21</v>
      </c>
      <c r="Y36">
        <f t="shared" si="32"/>
        <v>3296.4</v>
      </c>
      <c r="AA36">
        <v>53860087</v>
      </c>
      <c r="AB36">
        <f t="shared" si="33"/>
        <v>641.63499999999999</v>
      </c>
      <c r="AC36">
        <f t="shared" si="34"/>
        <v>0</v>
      </c>
      <c r="AD36">
        <f>ROUND(((((ET36*1.25))-((EU36*1.25)))+AE36),6)</f>
        <v>48.0625</v>
      </c>
      <c r="AE36">
        <f>ROUND(((EU36*1.25)),6)</f>
        <v>11.1625</v>
      </c>
      <c r="AF36">
        <f>ROUND(((EV36*1.15)),6)</f>
        <v>593.57249999999999</v>
      </c>
      <c r="AG36">
        <f t="shared" si="35"/>
        <v>0</v>
      </c>
      <c r="AH36">
        <f>((EW36*1.15))</f>
        <v>51.749999999999993</v>
      </c>
      <c r="AI36">
        <f>((EX36*1.25))</f>
        <v>0</v>
      </c>
      <c r="AJ36">
        <f t="shared" si="36"/>
        <v>0</v>
      </c>
      <c r="AK36">
        <v>554.6</v>
      </c>
      <c r="AL36">
        <v>0</v>
      </c>
      <c r="AM36">
        <v>38.450000000000003</v>
      </c>
      <c r="AN36">
        <v>8.93</v>
      </c>
      <c r="AO36">
        <v>516.15</v>
      </c>
      <c r="AP36">
        <v>0</v>
      </c>
      <c r="AQ36">
        <v>45</v>
      </c>
      <c r="AR36">
        <v>0</v>
      </c>
      <c r="AS36">
        <v>0</v>
      </c>
      <c r="AT36">
        <v>83</v>
      </c>
      <c r="AU36">
        <v>41</v>
      </c>
      <c r="AV36">
        <v>1</v>
      </c>
      <c r="AW36">
        <v>1</v>
      </c>
      <c r="AZ36">
        <v>1</v>
      </c>
      <c r="BA36">
        <v>30.1</v>
      </c>
      <c r="BB36">
        <v>14.17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1</v>
      </c>
      <c r="BJ36" t="s">
        <v>64</v>
      </c>
      <c r="BM36">
        <v>115</v>
      </c>
      <c r="BN36">
        <v>36862081</v>
      </c>
      <c r="BO36" t="s">
        <v>61</v>
      </c>
      <c r="BP36">
        <v>1</v>
      </c>
      <c r="BQ36">
        <v>30</v>
      </c>
      <c r="BR36">
        <v>0</v>
      </c>
      <c r="BS36">
        <v>30.1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83</v>
      </c>
      <c r="CA36">
        <v>41</v>
      </c>
      <c r="CB36" t="s">
        <v>3</v>
      </c>
      <c r="CE36">
        <v>30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37"/>
        <v>8346.51</v>
      </c>
      <c r="CQ36">
        <f t="shared" si="38"/>
        <v>0</v>
      </c>
      <c r="CR36">
        <f>(ROUND((ROUND((((ET36*1.25))*AV36*1),2)*BB36),2)+ROUND((ROUND(((AE36-((EU36*1.25)))*AV36*1),2)*BS36),2))</f>
        <v>681.01</v>
      </c>
      <c r="CS36">
        <f t="shared" si="39"/>
        <v>335.92</v>
      </c>
      <c r="CT36">
        <f t="shared" si="40"/>
        <v>17866.46</v>
      </c>
      <c r="CU36">
        <f t="shared" si="41"/>
        <v>0</v>
      </c>
      <c r="CV36">
        <f t="shared" si="42"/>
        <v>51.749999999999993</v>
      </c>
      <c r="CW36">
        <f t="shared" si="43"/>
        <v>0</v>
      </c>
      <c r="CX36">
        <f t="shared" si="44"/>
        <v>0</v>
      </c>
      <c r="CY36">
        <f t="shared" si="45"/>
        <v>6673.2083000000002</v>
      </c>
      <c r="CZ36">
        <f t="shared" si="46"/>
        <v>3296.4040999999997</v>
      </c>
      <c r="DC36" t="s">
        <v>3</v>
      </c>
      <c r="DD36" t="s">
        <v>3</v>
      </c>
      <c r="DE36" t="s">
        <v>51</v>
      </c>
      <c r="DF36" t="s">
        <v>51</v>
      </c>
      <c r="DG36" t="s">
        <v>52</v>
      </c>
      <c r="DH36" t="s">
        <v>3</v>
      </c>
      <c r="DI36" t="s">
        <v>52</v>
      </c>
      <c r="DJ36" t="s">
        <v>51</v>
      </c>
      <c r="DK36" t="s">
        <v>3</v>
      </c>
      <c r="DL36" t="s">
        <v>3</v>
      </c>
      <c r="DM36" t="s">
        <v>3</v>
      </c>
      <c r="DN36">
        <v>100</v>
      </c>
      <c r="DO36">
        <v>64</v>
      </c>
      <c r="DP36">
        <v>1</v>
      </c>
      <c r="DQ36">
        <v>1</v>
      </c>
      <c r="DU36">
        <v>1013</v>
      </c>
      <c r="DV36" t="s">
        <v>63</v>
      </c>
      <c r="DW36" t="s">
        <v>63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53212864</v>
      </c>
      <c r="EF36">
        <v>30</v>
      </c>
      <c r="EG36" t="s">
        <v>37</v>
      </c>
      <c r="EH36">
        <v>0</v>
      </c>
      <c r="EI36" t="s">
        <v>3</v>
      </c>
      <c r="EJ36">
        <v>1</v>
      </c>
      <c r="EK36">
        <v>115</v>
      </c>
      <c r="EL36" t="s">
        <v>65</v>
      </c>
      <c r="EM36" t="s">
        <v>66</v>
      </c>
      <c r="EO36" t="s">
        <v>3</v>
      </c>
      <c r="EQ36">
        <v>0</v>
      </c>
      <c r="ER36">
        <v>554.6</v>
      </c>
      <c r="ES36">
        <v>0</v>
      </c>
      <c r="ET36">
        <v>38.450000000000003</v>
      </c>
      <c r="EU36">
        <v>8.93</v>
      </c>
      <c r="EV36">
        <v>516.15</v>
      </c>
      <c r="EW36">
        <v>45</v>
      </c>
      <c r="EX36">
        <v>0</v>
      </c>
      <c r="EY36">
        <v>0</v>
      </c>
      <c r="FQ36">
        <v>0</v>
      </c>
      <c r="FR36">
        <f t="shared" si="47"/>
        <v>0</v>
      </c>
      <c r="FS36">
        <v>0</v>
      </c>
      <c r="FX36">
        <v>100</v>
      </c>
      <c r="FY36">
        <v>64</v>
      </c>
      <c r="GA36" t="s">
        <v>3</v>
      </c>
      <c r="GD36">
        <v>0</v>
      </c>
      <c r="GF36">
        <v>1180635011</v>
      </c>
      <c r="GG36">
        <v>2</v>
      </c>
      <c r="GH36">
        <v>1</v>
      </c>
      <c r="GI36">
        <v>2</v>
      </c>
      <c r="GJ36">
        <v>0</v>
      </c>
      <c r="GK36">
        <f>ROUND(R36*(R12)/100,2)</f>
        <v>241.76</v>
      </c>
      <c r="GL36">
        <f t="shared" si="48"/>
        <v>0</v>
      </c>
      <c r="GM36">
        <f t="shared" si="49"/>
        <v>18557.88</v>
      </c>
      <c r="GN36">
        <f t="shared" si="50"/>
        <v>18557.88</v>
      </c>
      <c r="GO36">
        <f t="shared" si="51"/>
        <v>0</v>
      </c>
      <c r="GP36">
        <f t="shared" si="52"/>
        <v>0</v>
      </c>
      <c r="GR36">
        <v>0</v>
      </c>
      <c r="GS36">
        <v>3</v>
      </c>
      <c r="GT36">
        <v>0</v>
      </c>
      <c r="GU36" t="s">
        <v>3</v>
      </c>
      <c r="GV36">
        <f t="shared" si="53"/>
        <v>0</v>
      </c>
      <c r="GW36">
        <v>1</v>
      </c>
      <c r="GX36">
        <f t="shared" si="54"/>
        <v>0</v>
      </c>
      <c r="HA36">
        <v>0</v>
      </c>
      <c r="HB36">
        <v>0</v>
      </c>
      <c r="HC36">
        <f t="shared" si="55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18</v>
      </c>
      <c r="B37">
        <v>1</v>
      </c>
      <c r="C37">
        <v>13</v>
      </c>
      <c r="E37" t="s">
        <v>67</v>
      </c>
      <c r="F37" t="s">
        <v>68</v>
      </c>
      <c r="G37" t="s">
        <v>69</v>
      </c>
      <c r="H37" t="s">
        <v>70</v>
      </c>
      <c r="I37">
        <f>I36*J37</f>
        <v>4.41E-2</v>
      </c>
      <c r="J37">
        <v>9.8000000000000004E-2</v>
      </c>
      <c r="K37">
        <v>9.8000000000000004E-2</v>
      </c>
      <c r="O37">
        <f t="shared" si="23"/>
        <v>1.86</v>
      </c>
      <c r="P37">
        <f t="shared" si="24"/>
        <v>1.86</v>
      </c>
      <c r="Q37">
        <f>(ROUND((ROUND(((ET37)*AV37*I37),2)*BB37),2)+ROUND((ROUND(((AE37-(EU37))*AV37*I37),2)*BS37),2))</f>
        <v>0</v>
      </c>
      <c r="R37">
        <f t="shared" si="25"/>
        <v>0</v>
      </c>
      <c r="S37">
        <f t="shared" si="26"/>
        <v>0</v>
      </c>
      <c r="T37">
        <f t="shared" si="27"/>
        <v>0</v>
      </c>
      <c r="U37">
        <f t="shared" si="28"/>
        <v>0</v>
      </c>
      <c r="V37">
        <f t="shared" si="29"/>
        <v>0</v>
      </c>
      <c r="W37">
        <f t="shared" si="30"/>
        <v>0</v>
      </c>
      <c r="X37">
        <f t="shared" si="31"/>
        <v>0</v>
      </c>
      <c r="Y37">
        <f t="shared" si="32"/>
        <v>0</v>
      </c>
      <c r="AA37">
        <v>53860087</v>
      </c>
      <c r="AB37">
        <f t="shared" si="33"/>
        <v>7.07</v>
      </c>
      <c r="AC37">
        <f t="shared" si="34"/>
        <v>7.07</v>
      </c>
      <c r="AD37">
        <f>ROUND((((ET37)-(EU37))+AE37),6)</f>
        <v>0</v>
      </c>
      <c r="AE37">
        <f t="shared" ref="AE37:AF39" si="56">ROUND((EU37),6)</f>
        <v>0</v>
      </c>
      <c r="AF37">
        <f t="shared" si="56"/>
        <v>0</v>
      </c>
      <c r="AG37">
        <f t="shared" si="35"/>
        <v>0</v>
      </c>
      <c r="AH37">
        <f t="shared" ref="AH37:AI39" si="57">(EW37)</f>
        <v>0</v>
      </c>
      <c r="AI37">
        <f t="shared" si="57"/>
        <v>0</v>
      </c>
      <c r="AJ37">
        <f t="shared" si="36"/>
        <v>0</v>
      </c>
      <c r="AK37">
        <v>7.07</v>
      </c>
      <c r="AL37">
        <v>7.07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6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71</v>
      </c>
      <c r="BM37">
        <v>115</v>
      </c>
      <c r="BN37">
        <v>36862081</v>
      </c>
      <c r="BO37" t="s">
        <v>68</v>
      </c>
      <c r="BP37">
        <v>1</v>
      </c>
      <c r="BQ37">
        <v>30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B37" t="s">
        <v>3</v>
      </c>
      <c r="CE37">
        <v>30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37"/>
        <v>1.86</v>
      </c>
      <c r="CQ37">
        <f t="shared" si="38"/>
        <v>42.42</v>
      </c>
      <c r="CR37">
        <f>(ROUND((ROUND(((ET37)*AV37*1),2)*BB37),2)+ROUND((ROUND(((AE37-(EU37))*AV37*1),2)*BS37),2))</f>
        <v>0</v>
      </c>
      <c r="CS37">
        <f t="shared" si="39"/>
        <v>0</v>
      </c>
      <c r="CT37">
        <f t="shared" si="40"/>
        <v>0</v>
      </c>
      <c r="CU37">
        <f t="shared" si="41"/>
        <v>0</v>
      </c>
      <c r="CV37">
        <f t="shared" si="42"/>
        <v>0</v>
      </c>
      <c r="CW37">
        <f t="shared" si="43"/>
        <v>0</v>
      </c>
      <c r="CX37">
        <f t="shared" si="44"/>
        <v>0</v>
      </c>
      <c r="CY37">
        <f t="shared" si="45"/>
        <v>0</v>
      </c>
      <c r="CZ37">
        <f t="shared" si="46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100</v>
      </c>
      <c r="DO37">
        <v>64</v>
      </c>
      <c r="DP37">
        <v>1</v>
      </c>
      <c r="DQ37">
        <v>1</v>
      </c>
      <c r="DU37">
        <v>1007</v>
      </c>
      <c r="DV37" t="s">
        <v>70</v>
      </c>
      <c r="DW37" t="s">
        <v>70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53212864</v>
      </c>
      <c r="EF37">
        <v>30</v>
      </c>
      <c r="EG37" t="s">
        <v>37</v>
      </c>
      <c r="EH37">
        <v>0</v>
      </c>
      <c r="EI37" t="s">
        <v>3</v>
      </c>
      <c r="EJ37">
        <v>1</v>
      </c>
      <c r="EK37">
        <v>115</v>
      </c>
      <c r="EL37" t="s">
        <v>65</v>
      </c>
      <c r="EM37" t="s">
        <v>66</v>
      </c>
      <c r="EO37" t="s">
        <v>3</v>
      </c>
      <c r="EQ37">
        <v>0</v>
      </c>
      <c r="ER37">
        <v>7.07</v>
      </c>
      <c r="ES37">
        <v>7.07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47"/>
        <v>0</v>
      </c>
      <c r="FS37">
        <v>0</v>
      </c>
      <c r="FX37">
        <v>100</v>
      </c>
      <c r="FY37">
        <v>64</v>
      </c>
      <c r="GA37" t="s">
        <v>3</v>
      </c>
      <c r="GD37">
        <v>0</v>
      </c>
      <c r="GF37">
        <v>-862991314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48"/>
        <v>0</v>
      </c>
      <c r="GM37">
        <f t="shared" si="49"/>
        <v>1.86</v>
      </c>
      <c r="GN37">
        <f t="shared" si="50"/>
        <v>1.86</v>
      </c>
      <c r="GO37">
        <f t="shared" si="51"/>
        <v>0</v>
      </c>
      <c r="GP37">
        <f t="shared" si="52"/>
        <v>0</v>
      </c>
      <c r="GR37">
        <v>0</v>
      </c>
      <c r="GS37">
        <v>3</v>
      </c>
      <c r="GT37">
        <v>0</v>
      </c>
      <c r="GU37" t="s">
        <v>3</v>
      </c>
      <c r="GV37">
        <f t="shared" si="53"/>
        <v>0</v>
      </c>
      <c r="GW37">
        <v>1</v>
      </c>
      <c r="GX37">
        <f t="shared" si="54"/>
        <v>0</v>
      </c>
      <c r="HA37">
        <v>0</v>
      </c>
      <c r="HB37">
        <v>0</v>
      </c>
      <c r="HC37">
        <f t="shared" si="55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18</v>
      </c>
      <c r="B38">
        <v>1</v>
      </c>
      <c r="C38">
        <v>15</v>
      </c>
      <c r="E38" t="s">
        <v>72</v>
      </c>
      <c r="F38" t="s">
        <v>73</v>
      </c>
      <c r="G38" t="s">
        <v>74</v>
      </c>
      <c r="H38" t="s">
        <v>75</v>
      </c>
      <c r="I38">
        <f>I36*J38</f>
        <v>0.252</v>
      </c>
      <c r="J38">
        <v>0.55999999999999994</v>
      </c>
      <c r="K38">
        <v>0.56000000000000005</v>
      </c>
      <c r="O38">
        <f t="shared" si="23"/>
        <v>2818.73</v>
      </c>
      <c r="P38">
        <f t="shared" si="24"/>
        <v>2818.73</v>
      </c>
      <c r="Q38">
        <f>(ROUND((ROUND(((ET38)*AV38*I38),2)*BB38),2)+ROUND((ROUND(((AE38-(EU38))*AV38*I38),2)*BS38),2))</f>
        <v>0</v>
      </c>
      <c r="R38">
        <f t="shared" si="25"/>
        <v>0</v>
      </c>
      <c r="S38">
        <f t="shared" si="26"/>
        <v>0</v>
      </c>
      <c r="T38">
        <f t="shared" si="27"/>
        <v>0</v>
      </c>
      <c r="U38">
        <f t="shared" si="28"/>
        <v>0</v>
      </c>
      <c r="V38">
        <f t="shared" si="29"/>
        <v>0</v>
      </c>
      <c r="W38">
        <f t="shared" si="30"/>
        <v>0</v>
      </c>
      <c r="X38">
        <f t="shared" si="31"/>
        <v>0</v>
      </c>
      <c r="Y38">
        <f t="shared" si="32"/>
        <v>0</v>
      </c>
      <c r="AA38">
        <v>53860087</v>
      </c>
      <c r="AB38">
        <f t="shared" si="33"/>
        <v>1517.68</v>
      </c>
      <c r="AC38">
        <f t="shared" si="34"/>
        <v>1517.68</v>
      </c>
      <c r="AD38">
        <f>ROUND((((ET38)-(EU38))+AE38),6)</f>
        <v>0</v>
      </c>
      <c r="AE38">
        <f t="shared" si="56"/>
        <v>0</v>
      </c>
      <c r="AF38">
        <f t="shared" si="56"/>
        <v>0</v>
      </c>
      <c r="AG38">
        <f t="shared" si="35"/>
        <v>0</v>
      </c>
      <c r="AH38">
        <f t="shared" si="57"/>
        <v>0</v>
      </c>
      <c r="AI38">
        <f t="shared" si="57"/>
        <v>0</v>
      </c>
      <c r="AJ38">
        <f t="shared" si="36"/>
        <v>0</v>
      </c>
      <c r="AK38">
        <v>1517.68</v>
      </c>
      <c r="AL38">
        <v>1517.68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7.37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1</v>
      </c>
      <c r="BJ38" t="s">
        <v>76</v>
      </c>
      <c r="BM38">
        <v>115</v>
      </c>
      <c r="BN38">
        <v>36862081</v>
      </c>
      <c r="BO38" t="s">
        <v>73</v>
      </c>
      <c r="BP38">
        <v>1</v>
      </c>
      <c r="BQ38">
        <v>30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0</v>
      </c>
      <c r="CA38">
        <v>0</v>
      </c>
      <c r="CB38" t="s">
        <v>3</v>
      </c>
      <c r="CE38">
        <v>30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37"/>
        <v>2818.73</v>
      </c>
      <c r="CQ38">
        <f t="shared" si="38"/>
        <v>11185.3</v>
      </c>
      <c r="CR38">
        <f>(ROUND((ROUND(((ET38)*AV38*1),2)*BB38),2)+ROUND((ROUND(((AE38-(EU38))*AV38*1),2)*BS38),2))</f>
        <v>0</v>
      </c>
      <c r="CS38">
        <f t="shared" si="39"/>
        <v>0</v>
      </c>
      <c r="CT38">
        <f t="shared" si="40"/>
        <v>0</v>
      </c>
      <c r="CU38">
        <f t="shared" si="41"/>
        <v>0</v>
      </c>
      <c r="CV38">
        <f t="shared" si="42"/>
        <v>0</v>
      </c>
      <c r="CW38">
        <f t="shared" si="43"/>
        <v>0</v>
      </c>
      <c r="CX38">
        <f t="shared" si="44"/>
        <v>0</v>
      </c>
      <c r="CY38">
        <f t="shared" si="45"/>
        <v>0</v>
      </c>
      <c r="CZ38">
        <f t="shared" si="46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100</v>
      </c>
      <c r="DO38">
        <v>64</v>
      </c>
      <c r="DP38">
        <v>1</v>
      </c>
      <c r="DQ38">
        <v>1</v>
      </c>
      <c r="DU38">
        <v>1009</v>
      </c>
      <c r="DV38" t="s">
        <v>75</v>
      </c>
      <c r="DW38" t="s">
        <v>75</v>
      </c>
      <c r="DX38">
        <v>1000</v>
      </c>
      <c r="DZ38" t="s">
        <v>3</v>
      </c>
      <c r="EA38" t="s">
        <v>3</v>
      </c>
      <c r="EB38" t="s">
        <v>3</v>
      </c>
      <c r="EC38" t="s">
        <v>3</v>
      </c>
      <c r="EE38">
        <v>53212864</v>
      </c>
      <c r="EF38">
        <v>30</v>
      </c>
      <c r="EG38" t="s">
        <v>37</v>
      </c>
      <c r="EH38">
        <v>0</v>
      </c>
      <c r="EI38" t="s">
        <v>3</v>
      </c>
      <c r="EJ38">
        <v>1</v>
      </c>
      <c r="EK38">
        <v>115</v>
      </c>
      <c r="EL38" t="s">
        <v>65</v>
      </c>
      <c r="EM38" t="s">
        <v>66</v>
      </c>
      <c r="EO38" t="s">
        <v>3</v>
      </c>
      <c r="EQ38">
        <v>0</v>
      </c>
      <c r="ER38">
        <v>1517.68</v>
      </c>
      <c r="ES38">
        <v>1517.68</v>
      </c>
      <c r="ET38">
        <v>0</v>
      </c>
      <c r="EU38">
        <v>0</v>
      </c>
      <c r="EV38">
        <v>0</v>
      </c>
      <c r="EW38">
        <v>0</v>
      </c>
      <c r="EX38">
        <v>0</v>
      </c>
      <c r="FQ38">
        <v>0</v>
      </c>
      <c r="FR38">
        <f t="shared" si="47"/>
        <v>0</v>
      </c>
      <c r="FS38">
        <v>0</v>
      </c>
      <c r="FX38">
        <v>100</v>
      </c>
      <c r="FY38">
        <v>64</v>
      </c>
      <c r="GA38" t="s">
        <v>3</v>
      </c>
      <c r="GD38">
        <v>0</v>
      </c>
      <c r="GF38">
        <v>-1727448689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48"/>
        <v>0</v>
      </c>
      <c r="GM38">
        <f t="shared" si="49"/>
        <v>2818.73</v>
      </c>
      <c r="GN38">
        <f t="shared" si="50"/>
        <v>2818.73</v>
      </c>
      <c r="GO38">
        <f t="shared" si="51"/>
        <v>0</v>
      </c>
      <c r="GP38">
        <f t="shared" si="52"/>
        <v>0</v>
      </c>
      <c r="GR38">
        <v>0</v>
      </c>
      <c r="GS38">
        <v>3</v>
      </c>
      <c r="GT38">
        <v>0</v>
      </c>
      <c r="GU38" t="s">
        <v>3</v>
      </c>
      <c r="GV38">
        <f t="shared" si="53"/>
        <v>0</v>
      </c>
      <c r="GW38">
        <v>1</v>
      </c>
      <c r="GX38">
        <f t="shared" si="54"/>
        <v>0</v>
      </c>
      <c r="HA38">
        <v>0</v>
      </c>
      <c r="HB38">
        <v>0</v>
      </c>
      <c r="HC38">
        <f t="shared" si="55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18</v>
      </c>
      <c r="B39">
        <v>1</v>
      </c>
      <c r="C39">
        <v>14</v>
      </c>
      <c r="E39" t="s">
        <v>77</v>
      </c>
      <c r="F39" t="s">
        <v>78</v>
      </c>
      <c r="G39" t="s">
        <v>79</v>
      </c>
      <c r="H39" t="s">
        <v>70</v>
      </c>
      <c r="I39">
        <f>I36*J39</f>
        <v>0.1575</v>
      </c>
      <c r="J39">
        <v>0.35</v>
      </c>
      <c r="K39">
        <v>0.35</v>
      </c>
      <c r="O39">
        <f t="shared" si="23"/>
        <v>715.45</v>
      </c>
      <c r="P39">
        <f t="shared" si="24"/>
        <v>715.45</v>
      </c>
      <c r="Q39">
        <f>(ROUND((ROUND(((ET39)*AV39*I39),2)*BB39),2)+ROUND((ROUND(((AE39-(EU39))*AV39*I39),2)*BS39),2))</f>
        <v>0</v>
      </c>
      <c r="R39">
        <f t="shared" si="25"/>
        <v>0</v>
      </c>
      <c r="S39">
        <f t="shared" si="26"/>
        <v>0</v>
      </c>
      <c r="T39">
        <f t="shared" si="27"/>
        <v>0</v>
      </c>
      <c r="U39">
        <f t="shared" si="28"/>
        <v>0</v>
      </c>
      <c r="V39">
        <f t="shared" si="29"/>
        <v>0</v>
      </c>
      <c r="W39">
        <f t="shared" si="30"/>
        <v>0</v>
      </c>
      <c r="X39">
        <f t="shared" si="31"/>
        <v>0</v>
      </c>
      <c r="Y39">
        <f t="shared" si="32"/>
        <v>0</v>
      </c>
      <c r="AA39">
        <v>53860087</v>
      </c>
      <c r="AB39">
        <f t="shared" si="33"/>
        <v>481.69</v>
      </c>
      <c r="AC39">
        <f t="shared" si="34"/>
        <v>481.69</v>
      </c>
      <c r="AD39">
        <f>ROUND((((ET39)-(EU39))+AE39),6)</f>
        <v>0</v>
      </c>
      <c r="AE39">
        <f t="shared" si="56"/>
        <v>0</v>
      </c>
      <c r="AF39">
        <f t="shared" si="56"/>
        <v>0</v>
      </c>
      <c r="AG39">
        <f t="shared" si="35"/>
        <v>0</v>
      </c>
      <c r="AH39">
        <f t="shared" si="57"/>
        <v>0</v>
      </c>
      <c r="AI39">
        <f t="shared" si="57"/>
        <v>0</v>
      </c>
      <c r="AJ39">
        <f t="shared" si="36"/>
        <v>0</v>
      </c>
      <c r="AK39">
        <v>481.69</v>
      </c>
      <c r="AL39">
        <v>481.69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9.43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1</v>
      </c>
      <c r="BJ39" t="s">
        <v>80</v>
      </c>
      <c r="BM39">
        <v>115</v>
      </c>
      <c r="BN39">
        <v>36862081</v>
      </c>
      <c r="BO39" t="s">
        <v>78</v>
      </c>
      <c r="BP39">
        <v>1</v>
      </c>
      <c r="BQ39">
        <v>30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0</v>
      </c>
      <c r="CA39">
        <v>0</v>
      </c>
      <c r="CB39" t="s">
        <v>3</v>
      </c>
      <c r="CE39">
        <v>30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37"/>
        <v>715.45</v>
      </c>
      <c r="CQ39">
        <f t="shared" si="38"/>
        <v>4542.34</v>
      </c>
      <c r="CR39">
        <f>(ROUND((ROUND(((ET39)*AV39*1),2)*BB39),2)+ROUND((ROUND(((AE39-(EU39))*AV39*1),2)*BS39),2))</f>
        <v>0</v>
      </c>
      <c r="CS39">
        <f t="shared" si="39"/>
        <v>0</v>
      </c>
      <c r="CT39">
        <f t="shared" si="40"/>
        <v>0</v>
      </c>
      <c r="CU39">
        <f t="shared" si="41"/>
        <v>0</v>
      </c>
      <c r="CV39">
        <f t="shared" si="42"/>
        <v>0</v>
      </c>
      <c r="CW39">
        <f t="shared" si="43"/>
        <v>0</v>
      </c>
      <c r="CX39">
        <f t="shared" si="44"/>
        <v>0</v>
      </c>
      <c r="CY39">
        <f t="shared" si="45"/>
        <v>0</v>
      </c>
      <c r="CZ39">
        <f t="shared" si="46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100</v>
      </c>
      <c r="DO39">
        <v>64</v>
      </c>
      <c r="DP39">
        <v>1</v>
      </c>
      <c r="DQ39">
        <v>1</v>
      </c>
      <c r="DU39">
        <v>1007</v>
      </c>
      <c r="DV39" t="s">
        <v>70</v>
      </c>
      <c r="DW39" t="s">
        <v>70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53212864</v>
      </c>
      <c r="EF39">
        <v>30</v>
      </c>
      <c r="EG39" t="s">
        <v>37</v>
      </c>
      <c r="EH39">
        <v>0</v>
      </c>
      <c r="EI39" t="s">
        <v>3</v>
      </c>
      <c r="EJ39">
        <v>1</v>
      </c>
      <c r="EK39">
        <v>115</v>
      </c>
      <c r="EL39" t="s">
        <v>65</v>
      </c>
      <c r="EM39" t="s">
        <v>66</v>
      </c>
      <c r="EO39" t="s">
        <v>3</v>
      </c>
      <c r="EQ39">
        <v>0</v>
      </c>
      <c r="ER39">
        <v>481.69</v>
      </c>
      <c r="ES39">
        <v>481.69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47"/>
        <v>0</v>
      </c>
      <c r="FS39">
        <v>0</v>
      </c>
      <c r="FX39">
        <v>100</v>
      </c>
      <c r="FY39">
        <v>64</v>
      </c>
      <c r="GA39" t="s">
        <v>3</v>
      </c>
      <c r="GD39">
        <v>0</v>
      </c>
      <c r="GF39">
        <v>847230343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48"/>
        <v>0</v>
      </c>
      <c r="GM39">
        <f t="shared" si="49"/>
        <v>715.45</v>
      </c>
      <c r="GN39">
        <f t="shared" si="50"/>
        <v>715.45</v>
      </c>
      <c r="GO39">
        <f t="shared" si="51"/>
        <v>0</v>
      </c>
      <c r="GP39">
        <f t="shared" si="52"/>
        <v>0</v>
      </c>
      <c r="GR39">
        <v>0</v>
      </c>
      <c r="GS39">
        <v>3</v>
      </c>
      <c r="GT39">
        <v>0</v>
      </c>
      <c r="GU39" t="s">
        <v>3</v>
      </c>
      <c r="GV39">
        <f t="shared" si="53"/>
        <v>0</v>
      </c>
      <c r="GW39">
        <v>1</v>
      </c>
      <c r="GX39">
        <f t="shared" si="54"/>
        <v>0</v>
      </c>
      <c r="HA39">
        <v>0</v>
      </c>
      <c r="HB39">
        <v>0</v>
      </c>
      <c r="HC39">
        <f t="shared" si="55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1</v>
      </c>
      <c r="C40">
        <f>ROW(SmtRes!A22)</f>
        <v>22</v>
      </c>
      <c r="D40">
        <f>ROW(EtalonRes!A47)</f>
        <v>47</v>
      </c>
      <c r="E40" t="s">
        <v>81</v>
      </c>
      <c r="F40" t="s">
        <v>82</v>
      </c>
      <c r="G40" t="s">
        <v>83</v>
      </c>
      <c r="H40" t="s">
        <v>28</v>
      </c>
      <c r="I40">
        <f>ROUND(45/100,9)</f>
        <v>0.45</v>
      </c>
      <c r="J40">
        <v>0</v>
      </c>
      <c r="K40">
        <f>ROUND(45/100,9)</f>
        <v>0.45</v>
      </c>
      <c r="O40">
        <f t="shared" si="23"/>
        <v>12425.67</v>
      </c>
      <c r="P40">
        <f t="shared" si="24"/>
        <v>1158.52</v>
      </c>
      <c r="Q40">
        <f>(ROUND((ROUND((((ET40*1.25))*AV40*I40),2)*BB40),2)+ROUND((ROUND(((AE40-((EU40*1.25)))*AV40*I40),2)*BS40),2))</f>
        <v>11.25</v>
      </c>
      <c r="R40">
        <f t="shared" si="25"/>
        <v>4.21</v>
      </c>
      <c r="S40">
        <f t="shared" si="26"/>
        <v>11255.9</v>
      </c>
      <c r="T40">
        <f t="shared" si="27"/>
        <v>0</v>
      </c>
      <c r="U40">
        <f t="shared" si="28"/>
        <v>32.602499999999999</v>
      </c>
      <c r="V40">
        <f t="shared" si="29"/>
        <v>0</v>
      </c>
      <c r="W40">
        <f t="shared" si="30"/>
        <v>0</v>
      </c>
      <c r="X40">
        <f t="shared" si="31"/>
        <v>9342.4</v>
      </c>
      <c r="Y40">
        <f t="shared" si="32"/>
        <v>4614.92</v>
      </c>
      <c r="AA40">
        <v>53860087</v>
      </c>
      <c r="AB40">
        <f t="shared" si="33"/>
        <v>1688.3865000000001</v>
      </c>
      <c r="AC40">
        <f t="shared" si="34"/>
        <v>855.31</v>
      </c>
      <c r="AD40">
        <f>ROUND(((((ET40*1.25))-((EU40*1.25)))+AE40),6)</f>
        <v>2.0750000000000002</v>
      </c>
      <c r="AE40">
        <f>ROUND(((EU40*1.25)),6)</f>
        <v>0.3125</v>
      </c>
      <c r="AF40">
        <f>ROUND(((EV40*1.15)),6)</f>
        <v>831.00149999999996</v>
      </c>
      <c r="AG40">
        <f t="shared" si="35"/>
        <v>0</v>
      </c>
      <c r="AH40">
        <f>((EW40*1.15))</f>
        <v>72.449999999999989</v>
      </c>
      <c r="AI40">
        <f>((EX40*1.25))</f>
        <v>0</v>
      </c>
      <c r="AJ40">
        <f t="shared" si="36"/>
        <v>0</v>
      </c>
      <c r="AK40">
        <v>1579.58</v>
      </c>
      <c r="AL40">
        <v>855.31</v>
      </c>
      <c r="AM40">
        <v>1.66</v>
      </c>
      <c r="AN40">
        <v>0.25</v>
      </c>
      <c r="AO40">
        <v>722.61</v>
      </c>
      <c r="AP40">
        <v>0</v>
      </c>
      <c r="AQ40">
        <v>63</v>
      </c>
      <c r="AR40">
        <v>0</v>
      </c>
      <c r="AS40">
        <v>0</v>
      </c>
      <c r="AT40">
        <v>83</v>
      </c>
      <c r="AU40">
        <v>41</v>
      </c>
      <c r="AV40">
        <v>1</v>
      </c>
      <c r="AW40">
        <v>1</v>
      </c>
      <c r="AZ40">
        <v>1</v>
      </c>
      <c r="BA40">
        <v>30.1</v>
      </c>
      <c r="BB40">
        <v>12.1</v>
      </c>
      <c r="BC40">
        <v>3.01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1</v>
      </c>
      <c r="BJ40" t="s">
        <v>84</v>
      </c>
      <c r="BM40">
        <v>1975</v>
      </c>
      <c r="BN40">
        <v>36862081</v>
      </c>
      <c r="BO40" t="s">
        <v>82</v>
      </c>
      <c r="BP40">
        <v>1</v>
      </c>
      <c r="BQ40">
        <v>30</v>
      </c>
      <c r="BR40">
        <v>0</v>
      </c>
      <c r="BS40">
        <v>30.1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83</v>
      </c>
      <c r="CA40">
        <v>41</v>
      </c>
      <c r="CB40" t="s">
        <v>3</v>
      </c>
      <c r="CE40">
        <v>30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37"/>
        <v>12425.67</v>
      </c>
      <c r="CQ40">
        <f t="shared" si="38"/>
        <v>2574.48</v>
      </c>
      <c r="CR40">
        <f>(ROUND((ROUND((((ET40*1.25))*AV40*1),2)*BB40),2)+ROUND((ROUND(((AE40-((EU40*1.25)))*AV40*1),2)*BS40),2))</f>
        <v>25.17</v>
      </c>
      <c r="CS40">
        <f t="shared" si="39"/>
        <v>9.33</v>
      </c>
      <c r="CT40">
        <f t="shared" si="40"/>
        <v>25013.1</v>
      </c>
      <c r="CU40">
        <f t="shared" si="41"/>
        <v>0</v>
      </c>
      <c r="CV40">
        <f t="shared" si="42"/>
        <v>72.449999999999989</v>
      </c>
      <c r="CW40">
        <f t="shared" si="43"/>
        <v>0</v>
      </c>
      <c r="CX40">
        <f t="shared" si="44"/>
        <v>0</v>
      </c>
      <c r="CY40">
        <f t="shared" si="45"/>
        <v>9342.396999999999</v>
      </c>
      <c r="CZ40">
        <f t="shared" si="46"/>
        <v>4614.9189999999999</v>
      </c>
      <c r="DC40" t="s">
        <v>3</v>
      </c>
      <c r="DD40" t="s">
        <v>3</v>
      </c>
      <c r="DE40" t="s">
        <v>51</v>
      </c>
      <c r="DF40" t="s">
        <v>51</v>
      </c>
      <c r="DG40" t="s">
        <v>52</v>
      </c>
      <c r="DH40" t="s">
        <v>3</v>
      </c>
      <c r="DI40" t="s">
        <v>52</v>
      </c>
      <c r="DJ40" t="s">
        <v>51</v>
      </c>
      <c r="DK40" t="s">
        <v>3</v>
      </c>
      <c r="DL40" t="s">
        <v>3</v>
      </c>
      <c r="DM40" t="s">
        <v>3</v>
      </c>
      <c r="DN40">
        <v>100</v>
      </c>
      <c r="DO40">
        <v>64</v>
      </c>
      <c r="DP40">
        <v>1</v>
      </c>
      <c r="DQ40">
        <v>1</v>
      </c>
      <c r="DU40">
        <v>1005</v>
      </c>
      <c r="DV40" t="s">
        <v>28</v>
      </c>
      <c r="DW40" t="s">
        <v>28</v>
      </c>
      <c r="DX40">
        <v>100</v>
      </c>
      <c r="DZ40" t="s">
        <v>3</v>
      </c>
      <c r="EA40" t="s">
        <v>3</v>
      </c>
      <c r="EB40" t="s">
        <v>3</v>
      </c>
      <c r="EC40" t="s">
        <v>3</v>
      </c>
      <c r="EE40">
        <v>53214725</v>
      </c>
      <c r="EF40">
        <v>30</v>
      </c>
      <c r="EG40" t="s">
        <v>37</v>
      </c>
      <c r="EH40">
        <v>0</v>
      </c>
      <c r="EI40" t="s">
        <v>3</v>
      </c>
      <c r="EJ40">
        <v>1</v>
      </c>
      <c r="EK40">
        <v>1975</v>
      </c>
      <c r="EL40" t="s">
        <v>85</v>
      </c>
      <c r="EM40" t="s">
        <v>86</v>
      </c>
      <c r="EO40" t="s">
        <v>3</v>
      </c>
      <c r="EQ40">
        <v>0</v>
      </c>
      <c r="ER40">
        <v>1579.58</v>
      </c>
      <c r="ES40">
        <v>855.31</v>
      </c>
      <c r="ET40">
        <v>1.66</v>
      </c>
      <c r="EU40">
        <v>0.25</v>
      </c>
      <c r="EV40">
        <v>722.61</v>
      </c>
      <c r="EW40">
        <v>63</v>
      </c>
      <c r="EX40">
        <v>0</v>
      </c>
      <c r="EY40">
        <v>0</v>
      </c>
      <c r="FQ40">
        <v>0</v>
      </c>
      <c r="FR40">
        <f t="shared" si="47"/>
        <v>0</v>
      </c>
      <c r="FS40">
        <v>0</v>
      </c>
      <c r="FX40">
        <v>100</v>
      </c>
      <c r="FY40">
        <v>64</v>
      </c>
      <c r="GA40" t="s">
        <v>3</v>
      </c>
      <c r="GD40">
        <v>0</v>
      </c>
      <c r="GF40">
        <v>-704489910</v>
      </c>
      <c r="GG40">
        <v>2</v>
      </c>
      <c r="GH40">
        <v>1</v>
      </c>
      <c r="GI40">
        <v>2</v>
      </c>
      <c r="GJ40">
        <v>0</v>
      </c>
      <c r="GK40">
        <f>ROUND(R40*(R12)/100,2)</f>
        <v>6.74</v>
      </c>
      <c r="GL40">
        <f t="shared" si="48"/>
        <v>0</v>
      </c>
      <c r="GM40">
        <f t="shared" si="49"/>
        <v>26389.73</v>
      </c>
      <c r="GN40">
        <f t="shared" si="50"/>
        <v>26389.73</v>
      </c>
      <c r="GO40">
        <f t="shared" si="51"/>
        <v>0</v>
      </c>
      <c r="GP40">
        <f t="shared" si="52"/>
        <v>0</v>
      </c>
      <c r="GR40">
        <v>0</v>
      </c>
      <c r="GS40">
        <v>3</v>
      </c>
      <c r="GT40">
        <v>0</v>
      </c>
      <c r="GU40" t="s">
        <v>3</v>
      </c>
      <c r="GV40">
        <f t="shared" si="53"/>
        <v>0</v>
      </c>
      <c r="GW40">
        <v>1</v>
      </c>
      <c r="GX40">
        <f t="shared" si="54"/>
        <v>0</v>
      </c>
      <c r="HA40">
        <v>0</v>
      </c>
      <c r="HB40">
        <v>0</v>
      </c>
      <c r="HC40">
        <f t="shared" si="55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18</v>
      </c>
      <c r="B41">
        <v>1</v>
      </c>
      <c r="C41">
        <v>21</v>
      </c>
      <c r="E41" t="s">
        <v>87</v>
      </c>
      <c r="F41" t="s">
        <v>56</v>
      </c>
      <c r="G41" t="s">
        <v>57</v>
      </c>
      <c r="H41" t="s">
        <v>58</v>
      </c>
      <c r="I41">
        <f>I40*J41</f>
        <v>9.9</v>
      </c>
      <c r="J41">
        <v>22</v>
      </c>
      <c r="K41">
        <v>22</v>
      </c>
      <c r="O41">
        <f t="shared" si="23"/>
        <v>1027.0999999999999</v>
      </c>
      <c r="P41">
        <f t="shared" si="24"/>
        <v>1027.0999999999999</v>
      </c>
      <c r="Q41">
        <f>(ROUND((ROUND(((ET41)*AV41*I41),2)*BB41),2)+ROUND((ROUND(((AE41-(EU41))*AV41*I41),2)*BS41),2))</f>
        <v>0</v>
      </c>
      <c r="R41">
        <f t="shared" si="25"/>
        <v>0</v>
      </c>
      <c r="S41">
        <f t="shared" si="26"/>
        <v>0</v>
      </c>
      <c r="T41">
        <f t="shared" si="27"/>
        <v>0</v>
      </c>
      <c r="U41">
        <f t="shared" si="28"/>
        <v>0</v>
      </c>
      <c r="V41">
        <f t="shared" si="29"/>
        <v>0</v>
      </c>
      <c r="W41">
        <f t="shared" si="30"/>
        <v>0</v>
      </c>
      <c r="X41">
        <f t="shared" si="31"/>
        <v>0</v>
      </c>
      <c r="Y41">
        <f t="shared" si="32"/>
        <v>0</v>
      </c>
      <c r="AA41">
        <v>53860087</v>
      </c>
      <c r="AB41">
        <f t="shared" si="33"/>
        <v>28.98</v>
      </c>
      <c r="AC41">
        <f t="shared" si="34"/>
        <v>28.98</v>
      </c>
      <c r="AD41">
        <f>ROUND((((ET41)-(EU41))+AE41),6)</f>
        <v>0</v>
      </c>
      <c r="AE41">
        <f>ROUND((EU41),6)</f>
        <v>0</v>
      </c>
      <c r="AF41">
        <f>ROUND((EV41),6)</f>
        <v>0</v>
      </c>
      <c r="AG41">
        <f t="shared" si="35"/>
        <v>0</v>
      </c>
      <c r="AH41">
        <f>(EW41)</f>
        <v>0</v>
      </c>
      <c r="AI41">
        <f>(EX41)</f>
        <v>0</v>
      </c>
      <c r="AJ41">
        <f t="shared" si="36"/>
        <v>0</v>
      </c>
      <c r="AK41">
        <v>28.98</v>
      </c>
      <c r="AL41">
        <v>28.98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3.58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1</v>
      </c>
      <c r="BJ41" t="s">
        <v>59</v>
      </c>
      <c r="BM41">
        <v>1975</v>
      </c>
      <c r="BN41">
        <v>36862081</v>
      </c>
      <c r="BO41" t="s">
        <v>56</v>
      </c>
      <c r="BP41">
        <v>1</v>
      </c>
      <c r="BQ41">
        <v>30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0</v>
      </c>
      <c r="CA41">
        <v>0</v>
      </c>
      <c r="CB41" t="s">
        <v>3</v>
      </c>
      <c r="CE41">
        <v>30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37"/>
        <v>1027.0999999999999</v>
      </c>
      <c r="CQ41">
        <f t="shared" si="38"/>
        <v>103.75</v>
      </c>
      <c r="CR41">
        <f>(ROUND((ROUND(((ET41)*AV41*1),2)*BB41),2)+ROUND((ROUND(((AE41-(EU41))*AV41*1),2)*BS41),2))</f>
        <v>0</v>
      </c>
      <c r="CS41">
        <f t="shared" si="39"/>
        <v>0</v>
      </c>
      <c r="CT41">
        <f t="shared" si="40"/>
        <v>0</v>
      </c>
      <c r="CU41">
        <f t="shared" si="41"/>
        <v>0</v>
      </c>
      <c r="CV41">
        <f t="shared" si="42"/>
        <v>0</v>
      </c>
      <c r="CW41">
        <f t="shared" si="43"/>
        <v>0</v>
      </c>
      <c r="CX41">
        <f t="shared" si="44"/>
        <v>0</v>
      </c>
      <c r="CY41">
        <f t="shared" si="45"/>
        <v>0</v>
      </c>
      <c r="CZ41">
        <f t="shared" si="46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100</v>
      </c>
      <c r="DO41">
        <v>64</v>
      </c>
      <c r="DP41">
        <v>1</v>
      </c>
      <c r="DQ41">
        <v>1</v>
      </c>
      <c r="DU41">
        <v>1009</v>
      </c>
      <c r="DV41" t="s">
        <v>58</v>
      </c>
      <c r="DW41" t="s">
        <v>58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53214725</v>
      </c>
      <c r="EF41">
        <v>30</v>
      </c>
      <c r="EG41" t="s">
        <v>37</v>
      </c>
      <c r="EH41">
        <v>0</v>
      </c>
      <c r="EI41" t="s">
        <v>3</v>
      </c>
      <c r="EJ41">
        <v>1</v>
      </c>
      <c r="EK41">
        <v>1975</v>
      </c>
      <c r="EL41" t="s">
        <v>85</v>
      </c>
      <c r="EM41" t="s">
        <v>86</v>
      </c>
      <c r="EO41" t="s">
        <v>3</v>
      </c>
      <c r="EQ41">
        <v>0</v>
      </c>
      <c r="ER41">
        <v>28.98</v>
      </c>
      <c r="ES41">
        <v>28.98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47"/>
        <v>0</v>
      </c>
      <c r="FS41">
        <v>0</v>
      </c>
      <c r="FX41">
        <v>100</v>
      </c>
      <c r="FY41">
        <v>64</v>
      </c>
      <c r="GA41" t="s">
        <v>3</v>
      </c>
      <c r="GD41">
        <v>0</v>
      </c>
      <c r="GF41">
        <v>33071459</v>
      </c>
      <c r="GG41">
        <v>2</v>
      </c>
      <c r="GH41">
        <v>1</v>
      </c>
      <c r="GI41">
        <v>2</v>
      </c>
      <c r="GJ41">
        <v>0</v>
      </c>
      <c r="GK41">
        <f>ROUND(R41*(R12)/100,2)</f>
        <v>0</v>
      </c>
      <c r="GL41">
        <f t="shared" si="48"/>
        <v>0</v>
      </c>
      <c r="GM41">
        <f t="shared" si="49"/>
        <v>1027.0999999999999</v>
      </c>
      <c r="GN41">
        <f t="shared" si="50"/>
        <v>1027.0999999999999</v>
      </c>
      <c r="GO41">
        <f t="shared" si="51"/>
        <v>0</v>
      </c>
      <c r="GP41">
        <f t="shared" si="52"/>
        <v>0</v>
      </c>
      <c r="GR41">
        <v>0</v>
      </c>
      <c r="GS41">
        <v>3</v>
      </c>
      <c r="GT41">
        <v>0</v>
      </c>
      <c r="GU41" t="s">
        <v>3</v>
      </c>
      <c r="GV41">
        <f t="shared" si="53"/>
        <v>0</v>
      </c>
      <c r="GW41">
        <v>1</v>
      </c>
      <c r="GX41">
        <f t="shared" si="54"/>
        <v>0</v>
      </c>
      <c r="HA41">
        <v>0</v>
      </c>
      <c r="HB41">
        <v>0</v>
      </c>
      <c r="HC41">
        <f t="shared" si="55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18</v>
      </c>
      <c r="B42">
        <v>1</v>
      </c>
      <c r="C42">
        <v>22</v>
      </c>
      <c r="E42" t="s">
        <v>88</v>
      </c>
      <c r="F42" t="s">
        <v>89</v>
      </c>
      <c r="G42" t="s">
        <v>976</v>
      </c>
      <c r="H42" t="s">
        <v>58</v>
      </c>
      <c r="I42">
        <f>I40*J42</f>
        <v>14.85</v>
      </c>
      <c r="J42">
        <v>33</v>
      </c>
      <c r="K42">
        <v>33</v>
      </c>
      <c r="O42">
        <f t="shared" si="23"/>
        <v>7619.6</v>
      </c>
      <c r="P42">
        <f t="shared" si="24"/>
        <v>7619.6</v>
      </c>
      <c r="Q42">
        <f>(ROUND((ROUND(((ET42)*AV42*I42),2)*BB42),2)+ROUND((ROUND(((AE42-(EU42))*AV42*I42),2)*BS42),2))</f>
        <v>0</v>
      </c>
      <c r="R42">
        <f t="shared" si="25"/>
        <v>0</v>
      </c>
      <c r="S42">
        <f t="shared" si="26"/>
        <v>0</v>
      </c>
      <c r="T42">
        <f t="shared" si="27"/>
        <v>0</v>
      </c>
      <c r="U42">
        <f t="shared" si="28"/>
        <v>0</v>
      </c>
      <c r="V42">
        <f t="shared" si="29"/>
        <v>0</v>
      </c>
      <c r="W42">
        <f t="shared" si="30"/>
        <v>0</v>
      </c>
      <c r="X42">
        <f t="shared" si="31"/>
        <v>0</v>
      </c>
      <c r="Y42">
        <f t="shared" si="32"/>
        <v>0</v>
      </c>
      <c r="AA42">
        <v>53860087</v>
      </c>
      <c r="AB42">
        <f t="shared" si="33"/>
        <v>108.25</v>
      </c>
      <c r="AC42">
        <f t="shared" si="34"/>
        <v>108.25</v>
      </c>
      <c r="AD42">
        <f>ROUND((((ET42)-(EU42))+AE42),6)</f>
        <v>0</v>
      </c>
      <c r="AE42">
        <f>ROUND((EU42),6)</f>
        <v>0</v>
      </c>
      <c r="AF42">
        <f>ROUND((EV42),6)</f>
        <v>0</v>
      </c>
      <c r="AG42">
        <f t="shared" si="35"/>
        <v>0</v>
      </c>
      <c r="AH42">
        <f>(EW42)</f>
        <v>0</v>
      </c>
      <c r="AI42">
        <f>(EX42)</f>
        <v>0</v>
      </c>
      <c r="AJ42">
        <f t="shared" si="36"/>
        <v>0</v>
      </c>
      <c r="AK42">
        <v>108.25</v>
      </c>
      <c r="AL42">
        <v>108.25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4.74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1</v>
      </c>
      <c r="BJ42" t="s">
        <v>90</v>
      </c>
      <c r="BM42">
        <v>1975</v>
      </c>
      <c r="BN42">
        <v>36862081</v>
      </c>
      <c r="BO42" t="s">
        <v>89</v>
      </c>
      <c r="BP42">
        <v>1</v>
      </c>
      <c r="BQ42">
        <v>30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0</v>
      </c>
      <c r="CA42">
        <v>0</v>
      </c>
      <c r="CB42" t="s">
        <v>3</v>
      </c>
      <c r="CE42">
        <v>30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37"/>
        <v>7619.6</v>
      </c>
      <c r="CQ42">
        <f t="shared" si="38"/>
        <v>513.11</v>
      </c>
      <c r="CR42">
        <f>(ROUND((ROUND(((ET42)*AV42*1),2)*BB42),2)+ROUND((ROUND(((AE42-(EU42))*AV42*1),2)*BS42),2))</f>
        <v>0</v>
      </c>
      <c r="CS42">
        <f t="shared" si="39"/>
        <v>0</v>
      </c>
      <c r="CT42">
        <f t="shared" si="40"/>
        <v>0</v>
      </c>
      <c r="CU42">
        <f t="shared" si="41"/>
        <v>0</v>
      </c>
      <c r="CV42">
        <f t="shared" si="42"/>
        <v>0</v>
      </c>
      <c r="CW42">
        <f t="shared" si="43"/>
        <v>0</v>
      </c>
      <c r="CX42">
        <f t="shared" si="44"/>
        <v>0</v>
      </c>
      <c r="CY42">
        <f t="shared" si="45"/>
        <v>0</v>
      </c>
      <c r="CZ42">
        <f t="shared" si="46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100</v>
      </c>
      <c r="DO42">
        <v>64</v>
      </c>
      <c r="DP42">
        <v>1</v>
      </c>
      <c r="DQ42">
        <v>1</v>
      </c>
      <c r="DU42">
        <v>1009</v>
      </c>
      <c r="DV42" t="s">
        <v>58</v>
      </c>
      <c r="DW42" t="s">
        <v>58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53214725</v>
      </c>
      <c r="EF42">
        <v>30</v>
      </c>
      <c r="EG42" t="s">
        <v>37</v>
      </c>
      <c r="EH42">
        <v>0</v>
      </c>
      <c r="EI42" t="s">
        <v>3</v>
      </c>
      <c r="EJ42">
        <v>1</v>
      </c>
      <c r="EK42">
        <v>1975</v>
      </c>
      <c r="EL42" t="s">
        <v>85</v>
      </c>
      <c r="EM42" t="s">
        <v>86</v>
      </c>
      <c r="EO42" t="s">
        <v>3</v>
      </c>
      <c r="EQ42">
        <v>0</v>
      </c>
      <c r="ER42">
        <v>108.25</v>
      </c>
      <c r="ES42">
        <v>108.25</v>
      </c>
      <c r="ET42">
        <v>0</v>
      </c>
      <c r="EU42">
        <v>0</v>
      </c>
      <c r="EV42">
        <v>0</v>
      </c>
      <c r="EW42">
        <v>0</v>
      </c>
      <c r="EX42">
        <v>0</v>
      </c>
      <c r="FQ42">
        <v>0</v>
      </c>
      <c r="FR42">
        <f t="shared" si="47"/>
        <v>0</v>
      </c>
      <c r="FS42">
        <v>0</v>
      </c>
      <c r="FX42">
        <v>100</v>
      </c>
      <c r="FY42">
        <v>64</v>
      </c>
      <c r="GA42" t="s">
        <v>3</v>
      </c>
      <c r="GD42">
        <v>0</v>
      </c>
      <c r="GF42">
        <v>-1515598087</v>
      </c>
      <c r="GG42">
        <v>2</v>
      </c>
      <c r="GH42">
        <v>1</v>
      </c>
      <c r="GI42">
        <v>2</v>
      </c>
      <c r="GJ42">
        <v>0</v>
      </c>
      <c r="GK42">
        <f>ROUND(R42*(R12)/100,2)</f>
        <v>0</v>
      </c>
      <c r="GL42">
        <f t="shared" si="48"/>
        <v>0</v>
      </c>
      <c r="GM42">
        <f t="shared" si="49"/>
        <v>7619.6</v>
      </c>
      <c r="GN42">
        <f t="shared" si="50"/>
        <v>7619.6</v>
      </c>
      <c r="GO42">
        <f t="shared" si="51"/>
        <v>0</v>
      </c>
      <c r="GP42">
        <f t="shared" si="52"/>
        <v>0</v>
      </c>
      <c r="GR42">
        <v>0</v>
      </c>
      <c r="GS42">
        <v>3</v>
      </c>
      <c r="GT42">
        <v>0</v>
      </c>
      <c r="GU42" t="s">
        <v>3</v>
      </c>
      <c r="GV42">
        <f t="shared" si="53"/>
        <v>0</v>
      </c>
      <c r="GW42">
        <v>1</v>
      </c>
      <c r="GX42">
        <f t="shared" si="54"/>
        <v>0</v>
      </c>
      <c r="HA42">
        <v>0</v>
      </c>
      <c r="HB42">
        <v>0</v>
      </c>
      <c r="HC42">
        <f t="shared" si="55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17</v>
      </c>
      <c r="B43">
        <v>1</v>
      </c>
      <c r="C43">
        <f>ROW(SmtRes!A27)</f>
        <v>27</v>
      </c>
      <c r="D43">
        <f>ROW(EtalonRes!A52)</f>
        <v>52</v>
      </c>
      <c r="E43" t="s">
        <v>91</v>
      </c>
      <c r="F43" t="s">
        <v>92</v>
      </c>
      <c r="G43" t="s">
        <v>93</v>
      </c>
      <c r="H43" t="s">
        <v>28</v>
      </c>
      <c r="I43">
        <f>ROUND(35/100,9)</f>
        <v>0.35</v>
      </c>
      <c r="J43">
        <v>0</v>
      </c>
      <c r="K43">
        <f>ROUND(35/100,9)</f>
        <v>0.35</v>
      </c>
      <c r="O43">
        <f t="shared" si="23"/>
        <v>16675.73</v>
      </c>
      <c r="P43">
        <f t="shared" si="24"/>
        <v>0</v>
      </c>
      <c r="Q43">
        <f>(ROUND((ROUND((((ET43*1.25))*AV43*I43),2)*BB43),2)+ROUND((ROUND(((AE43-((EU43*1.25)))*AV43*I43),2)*BS43),2))</f>
        <v>528.28</v>
      </c>
      <c r="R43">
        <f t="shared" si="25"/>
        <v>79.16</v>
      </c>
      <c r="S43">
        <f t="shared" si="26"/>
        <v>16147.45</v>
      </c>
      <c r="T43">
        <f t="shared" si="27"/>
        <v>0</v>
      </c>
      <c r="U43">
        <f t="shared" si="28"/>
        <v>43.614899999999992</v>
      </c>
      <c r="V43">
        <f t="shared" si="29"/>
        <v>0</v>
      </c>
      <c r="W43">
        <f t="shared" si="30"/>
        <v>0</v>
      </c>
      <c r="X43">
        <f t="shared" si="31"/>
        <v>11303.22</v>
      </c>
      <c r="Y43">
        <f t="shared" si="32"/>
        <v>6620.45</v>
      </c>
      <c r="AA43">
        <v>53860087</v>
      </c>
      <c r="AB43">
        <f t="shared" si="33"/>
        <v>1684.2919999999999</v>
      </c>
      <c r="AC43">
        <f t="shared" si="34"/>
        <v>0</v>
      </c>
      <c r="AD43">
        <f>ROUND(((((ET43*1.25))-((EU43*1.25)))+AE43),6)</f>
        <v>151.53749999999999</v>
      </c>
      <c r="AE43">
        <f>ROUND(((EU43*1.25)),6)</f>
        <v>7.5</v>
      </c>
      <c r="AF43">
        <f>ROUND(((EV43*1.15)),6)</f>
        <v>1532.7545</v>
      </c>
      <c r="AG43">
        <f t="shared" si="35"/>
        <v>0</v>
      </c>
      <c r="AH43">
        <f>((EW43*1.15))</f>
        <v>124.61399999999999</v>
      </c>
      <c r="AI43">
        <f>((EX43*1.25))</f>
        <v>0</v>
      </c>
      <c r="AJ43">
        <f t="shared" si="36"/>
        <v>0</v>
      </c>
      <c r="AK43">
        <v>1454.06</v>
      </c>
      <c r="AL43">
        <v>0</v>
      </c>
      <c r="AM43">
        <v>121.23</v>
      </c>
      <c r="AN43">
        <v>6</v>
      </c>
      <c r="AO43">
        <v>1332.83</v>
      </c>
      <c r="AP43">
        <v>0</v>
      </c>
      <c r="AQ43">
        <v>108.36</v>
      </c>
      <c r="AR43">
        <v>0</v>
      </c>
      <c r="AS43">
        <v>0</v>
      </c>
      <c r="AT43">
        <v>70</v>
      </c>
      <c r="AU43">
        <v>41</v>
      </c>
      <c r="AV43">
        <v>1</v>
      </c>
      <c r="AW43">
        <v>1</v>
      </c>
      <c r="AZ43">
        <v>1</v>
      </c>
      <c r="BA43">
        <v>30.1</v>
      </c>
      <c r="BB43">
        <v>9.9600000000000009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1</v>
      </c>
      <c r="BJ43" t="s">
        <v>94</v>
      </c>
      <c r="BM43">
        <v>2282</v>
      </c>
      <c r="BN43">
        <v>0</v>
      </c>
      <c r="BO43" t="s">
        <v>92</v>
      </c>
      <c r="BP43">
        <v>1</v>
      </c>
      <c r="BQ43">
        <v>30</v>
      </c>
      <c r="BR43">
        <v>0</v>
      </c>
      <c r="BS43">
        <v>30.1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41</v>
      </c>
      <c r="CB43" t="s">
        <v>3</v>
      </c>
      <c r="CE43">
        <v>30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37"/>
        <v>16675.73</v>
      </c>
      <c r="CQ43">
        <f t="shared" si="38"/>
        <v>0</v>
      </c>
      <c r="CR43">
        <f>(ROUND((ROUND((((ET43*1.25))*AV43*1),2)*BB43),2)+ROUND((ROUND(((AE43-((EU43*1.25)))*AV43*1),2)*BS43),2))</f>
        <v>1509.34</v>
      </c>
      <c r="CS43">
        <f t="shared" si="39"/>
        <v>225.75</v>
      </c>
      <c r="CT43">
        <f t="shared" si="40"/>
        <v>46135.78</v>
      </c>
      <c r="CU43">
        <f t="shared" si="41"/>
        <v>0</v>
      </c>
      <c r="CV43">
        <f t="shared" si="42"/>
        <v>124.61399999999999</v>
      </c>
      <c r="CW43">
        <f t="shared" si="43"/>
        <v>0</v>
      </c>
      <c r="CX43">
        <f t="shared" si="44"/>
        <v>0</v>
      </c>
      <c r="CY43">
        <f t="shared" si="45"/>
        <v>11303.215</v>
      </c>
      <c r="CZ43">
        <f t="shared" si="46"/>
        <v>6620.4544999999998</v>
      </c>
      <c r="DC43" t="s">
        <v>3</v>
      </c>
      <c r="DD43" t="s">
        <v>3</v>
      </c>
      <c r="DE43" t="s">
        <v>51</v>
      </c>
      <c r="DF43" t="s">
        <v>51</v>
      </c>
      <c r="DG43" t="s">
        <v>52</v>
      </c>
      <c r="DH43" t="s">
        <v>3</v>
      </c>
      <c r="DI43" t="s">
        <v>52</v>
      </c>
      <c r="DJ43" t="s">
        <v>51</v>
      </c>
      <c r="DK43" t="s">
        <v>3</v>
      </c>
      <c r="DL43" t="s">
        <v>3</v>
      </c>
      <c r="DM43" t="s">
        <v>3</v>
      </c>
      <c r="DN43">
        <v>85</v>
      </c>
      <c r="DO43">
        <v>70</v>
      </c>
      <c r="DP43">
        <v>1</v>
      </c>
      <c r="DQ43">
        <v>1</v>
      </c>
      <c r="DU43">
        <v>1005</v>
      </c>
      <c r="DV43" t="s">
        <v>28</v>
      </c>
      <c r="DW43" t="s">
        <v>28</v>
      </c>
      <c r="DX43">
        <v>100</v>
      </c>
      <c r="DZ43" t="s">
        <v>3</v>
      </c>
      <c r="EA43" t="s">
        <v>3</v>
      </c>
      <c r="EB43" t="s">
        <v>3</v>
      </c>
      <c r="EC43" t="s">
        <v>3</v>
      </c>
      <c r="EE43">
        <v>53215101</v>
      </c>
      <c r="EF43">
        <v>30</v>
      </c>
      <c r="EG43" t="s">
        <v>37</v>
      </c>
      <c r="EH43">
        <v>0</v>
      </c>
      <c r="EI43" t="s">
        <v>3</v>
      </c>
      <c r="EJ43">
        <v>1</v>
      </c>
      <c r="EK43">
        <v>2282</v>
      </c>
      <c r="EL43" t="s">
        <v>95</v>
      </c>
      <c r="EM43" t="s">
        <v>96</v>
      </c>
      <c r="EO43" t="s">
        <v>3</v>
      </c>
      <c r="EQ43">
        <v>0</v>
      </c>
      <c r="ER43">
        <v>1454.06</v>
      </c>
      <c r="ES43">
        <v>0</v>
      </c>
      <c r="ET43">
        <v>121.23</v>
      </c>
      <c r="EU43">
        <v>6</v>
      </c>
      <c r="EV43">
        <v>1332.83</v>
      </c>
      <c r="EW43">
        <v>108.36</v>
      </c>
      <c r="EX43">
        <v>0</v>
      </c>
      <c r="EY43">
        <v>0</v>
      </c>
      <c r="FQ43">
        <v>0</v>
      </c>
      <c r="FR43">
        <f t="shared" si="47"/>
        <v>0</v>
      </c>
      <c r="FS43">
        <v>0</v>
      </c>
      <c r="FX43">
        <v>85</v>
      </c>
      <c r="FY43">
        <v>70</v>
      </c>
      <c r="GA43" t="s">
        <v>3</v>
      </c>
      <c r="GD43">
        <v>0</v>
      </c>
      <c r="GF43">
        <v>-831093911</v>
      </c>
      <c r="GG43">
        <v>2</v>
      </c>
      <c r="GH43">
        <v>1</v>
      </c>
      <c r="GI43">
        <v>2</v>
      </c>
      <c r="GJ43">
        <v>0</v>
      </c>
      <c r="GK43">
        <f>ROUND(R43*(R12)/100,2)</f>
        <v>126.66</v>
      </c>
      <c r="GL43">
        <f t="shared" si="48"/>
        <v>0</v>
      </c>
      <c r="GM43">
        <f t="shared" si="49"/>
        <v>34726.06</v>
      </c>
      <c r="GN43">
        <f t="shared" si="50"/>
        <v>34726.06</v>
      </c>
      <c r="GO43">
        <f t="shared" si="51"/>
        <v>0</v>
      </c>
      <c r="GP43">
        <f t="shared" si="52"/>
        <v>0</v>
      </c>
      <c r="GR43">
        <v>0</v>
      </c>
      <c r="GS43">
        <v>3</v>
      </c>
      <c r="GT43">
        <v>0</v>
      </c>
      <c r="GU43" t="s">
        <v>3</v>
      </c>
      <c r="GV43">
        <f t="shared" si="53"/>
        <v>0</v>
      </c>
      <c r="GW43">
        <v>1</v>
      </c>
      <c r="GX43">
        <f t="shared" si="54"/>
        <v>0</v>
      </c>
      <c r="HA43">
        <v>0</v>
      </c>
      <c r="HB43">
        <v>0</v>
      </c>
      <c r="HC43">
        <f t="shared" si="55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18</v>
      </c>
      <c r="B44">
        <v>1</v>
      </c>
      <c r="C44">
        <v>27</v>
      </c>
      <c r="E44" t="s">
        <v>97</v>
      </c>
      <c r="F44" t="s">
        <v>98</v>
      </c>
      <c r="G44" t="s">
        <v>99</v>
      </c>
      <c r="H44" t="s">
        <v>100</v>
      </c>
      <c r="I44">
        <f>I43*J44</f>
        <v>35</v>
      </c>
      <c r="J44">
        <v>100</v>
      </c>
      <c r="K44">
        <v>100</v>
      </c>
      <c r="O44">
        <f t="shared" si="23"/>
        <v>28359.8</v>
      </c>
      <c r="P44">
        <f t="shared" si="24"/>
        <v>28359.8</v>
      </c>
      <c r="Q44">
        <f>(ROUND((ROUND(((ET44)*AV44*I44),2)*BB44),2)+ROUND((ROUND(((AE44-(EU44))*AV44*I44),2)*BS44),2))</f>
        <v>0</v>
      </c>
      <c r="R44">
        <f t="shared" si="25"/>
        <v>0</v>
      </c>
      <c r="S44">
        <f t="shared" si="26"/>
        <v>0</v>
      </c>
      <c r="T44">
        <f t="shared" si="27"/>
        <v>0</v>
      </c>
      <c r="U44">
        <f t="shared" si="28"/>
        <v>0</v>
      </c>
      <c r="V44">
        <f t="shared" si="29"/>
        <v>0</v>
      </c>
      <c r="W44">
        <f t="shared" si="30"/>
        <v>0</v>
      </c>
      <c r="X44">
        <f t="shared" si="31"/>
        <v>0</v>
      </c>
      <c r="Y44">
        <f t="shared" si="32"/>
        <v>0</v>
      </c>
      <c r="AA44">
        <v>53860087</v>
      </c>
      <c r="AB44">
        <f t="shared" si="33"/>
        <v>169.87</v>
      </c>
      <c r="AC44">
        <f t="shared" si="34"/>
        <v>169.87</v>
      </c>
      <c r="AD44">
        <f>ROUND((((ET44)-(EU44))+AE44),6)</f>
        <v>0</v>
      </c>
      <c r="AE44">
        <f>ROUND((EU44),6)</f>
        <v>0</v>
      </c>
      <c r="AF44">
        <f>ROUND((EV44),6)</f>
        <v>0</v>
      </c>
      <c r="AG44">
        <f t="shared" si="35"/>
        <v>0</v>
      </c>
      <c r="AH44">
        <f>(EW44)</f>
        <v>0</v>
      </c>
      <c r="AI44">
        <f>(EX44)</f>
        <v>0</v>
      </c>
      <c r="AJ44">
        <f t="shared" si="36"/>
        <v>0</v>
      </c>
      <c r="AK44">
        <v>169.87</v>
      </c>
      <c r="AL44">
        <v>169.87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4.7699999999999996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1</v>
      </c>
      <c r="BJ44" t="s">
        <v>101</v>
      </c>
      <c r="BM44">
        <v>2282</v>
      </c>
      <c r="BN44">
        <v>0</v>
      </c>
      <c r="BO44" t="s">
        <v>98</v>
      </c>
      <c r="BP44">
        <v>1</v>
      </c>
      <c r="BQ44">
        <v>30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0</v>
      </c>
      <c r="CA44">
        <v>0</v>
      </c>
      <c r="CB44" t="s">
        <v>3</v>
      </c>
      <c r="CE44">
        <v>30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37"/>
        <v>28359.8</v>
      </c>
      <c r="CQ44">
        <f t="shared" si="38"/>
        <v>810.28</v>
      </c>
      <c r="CR44">
        <f>(ROUND((ROUND(((ET44)*AV44*1),2)*BB44),2)+ROUND((ROUND(((AE44-(EU44))*AV44*1),2)*BS44),2))</f>
        <v>0</v>
      </c>
      <c r="CS44">
        <f t="shared" si="39"/>
        <v>0</v>
      </c>
      <c r="CT44">
        <f t="shared" si="40"/>
        <v>0</v>
      </c>
      <c r="CU44">
        <f t="shared" si="41"/>
        <v>0</v>
      </c>
      <c r="CV44">
        <f t="shared" si="42"/>
        <v>0</v>
      </c>
      <c r="CW44">
        <f t="shared" si="43"/>
        <v>0</v>
      </c>
      <c r="CX44">
        <f t="shared" si="44"/>
        <v>0</v>
      </c>
      <c r="CY44">
        <f t="shared" si="45"/>
        <v>0</v>
      </c>
      <c r="CZ44">
        <f t="shared" si="46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85</v>
      </c>
      <c r="DO44">
        <v>70</v>
      </c>
      <c r="DP44">
        <v>1</v>
      </c>
      <c r="DQ44">
        <v>1</v>
      </c>
      <c r="DU44">
        <v>1005</v>
      </c>
      <c r="DV44" t="s">
        <v>100</v>
      </c>
      <c r="DW44" t="s">
        <v>100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53215101</v>
      </c>
      <c r="EF44">
        <v>30</v>
      </c>
      <c r="EG44" t="s">
        <v>37</v>
      </c>
      <c r="EH44">
        <v>0</v>
      </c>
      <c r="EI44" t="s">
        <v>3</v>
      </c>
      <c r="EJ44">
        <v>1</v>
      </c>
      <c r="EK44">
        <v>2282</v>
      </c>
      <c r="EL44" t="s">
        <v>95</v>
      </c>
      <c r="EM44" t="s">
        <v>96</v>
      </c>
      <c r="EO44" t="s">
        <v>3</v>
      </c>
      <c r="EQ44">
        <v>0</v>
      </c>
      <c r="ER44">
        <v>169.87</v>
      </c>
      <c r="ES44">
        <v>169.87</v>
      </c>
      <c r="ET44">
        <v>0</v>
      </c>
      <c r="EU44">
        <v>0</v>
      </c>
      <c r="EV44">
        <v>0</v>
      </c>
      <c r="EW44">
        <v>0</v>
      </c>
      <c r="EX44">
        <v>0</v>
      </c>
      <c r="FQ44">
        <v>0</v>
      </c>
      <c r="FR44">
        <f t="shared" si="47"/>
        <v>0</v>
      </c>
      <c r="FS44">
        <v>0</v>
      </c>
      <c r="FX44">
        <v>85</v>
      </c>
      <c r="FY44">
        <v>70</v>
      </c>
      <c r="GA44" t="s">
        <v>3</v>
      </c>
      <c r="GD44">
        <v>0</v>
      </c>
      <c r="GF44">
        <v>1036276107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48"/>
        <v>0</v>
      </c>
      <c r="GM44">
        <f t="shared" si="49"/>
        <v>28359.8</v>
      </c>
      <c r="GN44">
        <f t="shared" si="50"/>
        <v>28359.8</v>
      </c>
      <c r="GO44">
        <f t="shared" si="51"/>
        <v>0</v>
      </c>
      <c r="GP44">
        <f t="shared" si="52"/>
        <v>0</v>
      </c>
      <c r="GR44">
        <v>0</v>
      </c>
      <c r="GS44">
        <v>3</v>
      </c>
      <c r="GT44">
        <v>0</v>
      </c>
      <c r="GU44" t="s">
        <v>3</v>
      </c>
      <c r="GV44">
        <f t="shared" si="53"/>
        <v>0</v>
      </c>
      <c r="GW44">
        <v>1</v>
      </c>
      <c r="GX44">
        <f t="shared" si="54"/>
        <v>0</v>
      </c>
      <c r="HA44">
        <v>0</v>
      </c>
      <c r="HB44">
        <v>0</v>
      </c>
      <c r="HC44">
        <f t="shared" si="55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17</v>
      </c>
      <c r="B45">
        <v>1</v>
      </c>
      <c r="C45">
        <f>ROW(SmtRes!A33)</f>
        <v>33</v>
      </c>
      <c r="D45">
        <f>ROW(EtalonRes!A58)</f>
        <v>58</v>
      </c>
      <c r="E45" t="s">
        <v>3</v>
      </c>
      <c r="F45" t="s">
        <v>102</v>
      </c>
      <c r="G45" t="s">
        <v>103</v>
      </c>
      <c r="H45" t="s">
        <v>28</v>
      </c>
      <c r="I45">
        <f>ROUND(8.5/100,9)</f>
        <v>8.5000000000000006E-2</v>
      </c>
      <c r="J45">
        <v>0</v>
      </c>
      <c r="K45">
        <f>ROUND(8.5/100,9)</f>
        <v>8.5000000000000006E-2</v>
      </c>
      <c r="O45">
        <f t="shared" si="23"/>
        <v>579.53</v>
      </c>
      <c r="P45">
        <f t="shared" si="24"/>
        <v>29.63</v>
      </c>
      <c r="Q45">
        <f>(ROUND((ROUND((((ET45*1.25))*AV45*I45),2)*BB45),2)+ROUND((ROUND(((AE45-((EU45*1.25)))*AV45*I45),2)*BS45),2))</f>
        <v>46.68</v>
      </c>
      <c r="R45">
        <f t="shared" si="25"/>
        <v>3.64</v>
      </c>
      <c r="S45">
        <f t="shared" si="26"/>
        <v>503.22</v>
      </c>
      <c r="T45">
        <f t="shared" si="27"/>
        <v>0</v>
      </c>
      <c r="U45">
        <f t="shared" si="28"/>
        <v>38.122499999999995</v>
      </c>
      <c r="V45">
        <f t="shared" si="29"/>
        <v>0</v>
      </c>
      <c r="W45">
        <f t="shared" si="30"/>
        <v>0</v>
      </c>
      <c r="X45">
        <f t="shared" si="31"/>
        <v>0</v>
      </c>
      <c r="Y45">
        <f t="shared" si="32"/>
        <v>0</v>
      </c>
      <c r="AA45">
        <v>-1</v>
      </c>
      <c r="AB45">
        <f t="shared" si="33"/>
        <v>6817.9049999999997</v>
      </c>
      <c r="AC45">
        <f t="shared" si="34"/>
        <v>348.58</v>
      </c>
      <c r="AD45">
        <f>ROUND(((((ET45*1.25))-((EU45*1.25)))+AE45),6)</f>
        <v>549.125</v>
      </c>
      <c r="AE45">
        <f>ROUND(((EU45*1.25)),6)</f>
        <v>42.8125</v>
      </c>
      <c r="AF45">
        <f>ROUND(((EV45*1.15)),6)</f>
        <v>5920.2</v>
      </c>
      <c r="AG45">
        <f t="shared" si="35"/>
        <v>0</v>
      </c>
      <c r="AH45">
        <f>((EW45*1.15))</f>
        <v>448.49999999999994</v>
      </c>
      <c r="AI45">
        <f>((EX45*1.25))</f>
        <v>0</v>
      </c>
      <c r="AJ45">
        <f t="shared" si="36"/>
        <v>0</v>
      </c>
      <c r="AK45">
        <v>5935.88</v>
      </c>
      <c r="AL45">
        <v>348.58</v>
      </c>
      <c r="AM45">
        <v>439.3</v>
      </c>
      <c r="AN45">
        <v>34.25</v>
      </c>
      <c r="AO45">
        <v>5148</v>
      </c>
      <c r="AP45">
        <v>0</v>
      </c>
      <c r="AQ45">
        <v>390</v>
      </c>
      <c r="AR45">
        <v>0</v>
      </c>
      <c r="AS45">
        <v>0</v>
      </c>
      <c r="AT45">
        <v>0</v>
      </c>
      <c r="AU45">
        <v>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1</v>
      </c>
      <c r="BJ45" t="s">
        <v>104</v>
      </c>
      <c r="BM45">
        <v>80</v>
      </c>
      <c r="BN45">
        <v>0</v>
      </c>
      <c r="BO45" t="s">
        <v>3</v>
      </c>
      <c r="BP45">
        <v>0</v>
      </c>
      <c r="BQ45">
        <v>30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0</v>
      </c>
      <c r="CA45">
        <v>0</v>
      </c>
      <c r="CB45" t="s">
        <v>3</v>
      </c>
      <c r="CE45">
        <v>30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37"/>
        <v>579.53</v>
      </c>
      <c r="CQ45">
        <f t="shared" si="38"/>
        <v>348.58</v>
      </c>
      <c r="CR45">
        <f>(ROUND((ROUND((((ET45*1.25))*AV45*1),2)*BB45),2)+ROUND((ROUND(((AE45-((EU45*1.25)))*AV45*1),2)*BS45),2))</f>
        <v>549.13</v>
      </c>
      <c r="CS45">
        <f t="shared" si="39"/>
        <v>42.81</v>
      </c>
      <c r="CT45">
        <f t="shared" si="40"/>
        <v>5920.2</v>
      </c>
      <c r="CU45">
        <f t="shared" si="41"/>
        <v>0</v>
      </c>
      <c r="CV45">
        <f t="shared" si="42"/>
        <v>448.49999999999994</v>
      </c>
      <c r="CW45">
        <f t="shared" si="43"/>
        <v>0</v>
      </c>
      <c r="CX45">
        <f t="shared" si="44"/>
        <v>0</v>
      </c>
      <c r="CY45">
        <f t="shared" si="45"/>
        <v>0</v>
      </c>
      <c r="CZ45">
        <f t="shared" si="46"/>
        <v>0</v>
      </c>
      <c r="DC45" t="s">
        <v>3</v>
      </c>
      <c r="DD45" t="s">
        <v>3</v>
      </c>
      <c r="DE45" t="s">
        <v>51</v>
      </c>
      <c r="DF45" t="s">
        <v>51</v>
      </c>
      <c r="DG45" t="s">
        <v>52</v>
      </c>
      <c r="DH45" t="s">
        <v>3</v>
      </c>
      <c r="DI45" t="s">
        <v>52</v>
      </c>
      <c r="DJ45" t="s">
        <v>51</v>
      </c>
      <c r="DK45" t="s">
        <v>3</v>
      </c>
      <c r="DL45" t="s">
        <v>3</v>
      </c>
      <c r="DM45" t="s">
        <v>3</v>
      </c>
      <c r="DN45">
        <v>85</v>
      </c>
      <c r="DO45">
        <v>70</v>
      </c>
      <c r="DP45">
        <v>1</v>
      </c>
      <c r="DQ45">
        <v>1</v>
      </c>
      <c r="DU45">
        <v>1005</v>
      </c>
      <c r="DV45" t="s">
        <v>28</v>
      </c>
      <c r="DW45" t="s">
        <v>28</v>
      </c>
      <c r="DX45">
        <v>100</v>
      </c>
      <c r="DZ45" t="s">
        <v>3</v>
      </c>
      <c r="EA45" t="s">
        <v>3</v>
      </c>
      <c r="EB45" t="s">
        <v>3</v>
      </c>
      <c r="EC45" t="s">
        <v>3</v>
      </c>
      <c r="EE45">
        <v>53212829</v>
      </c>
      <c r="EF45">
        <v>30</v>
      </c>
      <c r="EG45" t="s">
        <v>37</v>
      </c>
      <c r="EH45">
        <v>0</v>
      </c>
      <c r="EI45" t="s">
        <v>3</v>
      </c>
      <c r="EJ45">
        <v>1</v>
      </c>
      <c r="EK45">
        <v>80</v>
      </c>
      <c r="EL45" t="s">
        <v>105</v>
      </c>
      <c r="EM45" t="s">
        <v>106</v>
      </c>
      <c r="EO45" t="s">
        <v>3</v>
      </c>
      <c r="EQ45">
        <v>132096</v>
      </c>
      <c r="ER45">
        <v>5935.88</v>
      </c>
      <c r="ES45">
        <v>348.58</v>
      </c>
      <c r="ET45">
        <v>439.3</v>
      </c>
      <c r="EU45">
        <v>34.25</v>
      </c>
      <c r="EV45">
        <v>5148</v>
      </c>
      <c r="EW45">
        <v>390</v>
      </c>
      <c r="EX45">
        <v>0</v>
      </c>
      <c r="EY45">
        <v>0</v>
      </c>
      <c r="FQ45">
        <v>0</v>
      </c>
      <c r="FR45">
        <f t="shared" si="47"/>
        <v>0</v>
      </c>
      <c r="FS45">
        <v>0</v>
      </c>
      <c r="FX45">
        <v>85</v>
      </c>
      <c r="FY45">
        <v>70</v>
      </c>
      <c r="GA45" t="s">
        <v>3</v>
      </c>
      <c r="GD45">
        <v>1</v>
      </c>
      <c r="GF45">
        <v>1478261950</v>
      </c>
      <c r="GG45">
        <v>2</v>
      </c>
      <c r="GH45">
        <v>1</v>
      </c>
      <c r="GI45">
        <v>-2</v>
      </c>
      <c r="GJ45">
        <v>0</v>
      </c>
      <c r="GK45">
        <v>0</v>
      </c>
      <c r="GL45">
        <f t="shared" si="48"/>
        <v>0</v>
      </c>
      <c r="GM45">
        <f>ROUND(O45+X45+Y45,2)+GX45</f>
        <v>579.53</v>
      </c>
      <c r="GN45">
        <f t="shared" si="50"/>
        <v>579.53</v>
      </c>
      <c r="GO45">
        <f t="shared" si="51"/>
        <v>0</v>
      </c>
      <c r="GP45">
        <f t="shared" si="52"/>
        <v>0</v>
      </c>
      <c r="GR45">
        <v>0</v>
      </c>
      <c r="GS45">
        <v>3</v>
      </c>
      <c r="GT45">
        <v>0</v>
      </c>
      <c r="GU45" t="s">
        <v>3</v>
      </c>
      <c r="GV45">
        <f t="shared" si="53"/>
        <v>0</v>
      </c>
      <c r="GW45">
        <v>1</v>
      </c>
      <c r="GX45">
        <f t="shared" si="54"/>
        <v>0</v>
      </c>
      <c r="HA45">
        <v>0</v>
      </c>
      <c r="HB45">
        <v>0</v>
      </c>
      <c r="HC45">
        <f t="shared" si="55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18</v>
      </c>
      <c r="B46">
        <v>1</v>
      </c>
      <c r="C46">
        <v>33</v>
      </c>
      <c r="E46" t="s">
        <v>3</v>
      </c>
      <c r="F46" t="s">
        <v>98</v>
      </c>
      <c r="G46" t="s">
        <v>99</v>
      </c>
      <c r="H46" t="s">
        <v>100</v>
      </c>
      <c r="I46">
        <f>I45*J46</f>
        <v>8.5</v>
      </c>
      <c r="J46">
        <v>99.999999999999986</v>
      </c>
      <c r="K46">
        <v>100</v>
      </c>
      <c r="O46">
        <f t="shared" si="23"/>
        <v>6887.4</v>
      </c>
      <c r="P46">
        <f t="shared" si="24"/>
        <v>6887.4</v>
      </c>
      <c r="Q46">
        <f>(ROUND((ROUND(((ET46)*AV46*I46),2)*BB46),2)+ROUND((ROUND(((AE46-(EU46))*AV46*I46),2)*BS46),2))</f>
        <v>0</v>
      </c>
      <c r="R46">
        <f t="shared" si="25"/>
        <v>0</v>
      </c>
      <c r="S46">
        <f t="shared" si="26"/>
        <v>0</v>
      </c>
      <c r="T46">
        <f t="shared" si="27"/>
        <v>0</v>
      </c>
      <c r="U46">
        <f t="shared" si="28"/>
        <v>0</v>
      </c>
      <c r="V46">
        <f t="shared" si="29"/>
        <v>0</v>
      </c>
      <c r="W46">
        <f t="shared" si="30"/>
        <v>0</v>
      </c>
      <c r="X46">
        <f t="shared" si="31"/>
        <v>0</v>
      </c>
      <c r="Y46">
        <f t="shared" si="32"/>
        <v>0</v>
      </c>
      <c r="AA46">
        <v>-1</v>
      </c>
      <c r="AB46">
        <f t="shared" si="33"/>
        <v>169.87</v>
      </c>
      <c r="AC46">
        <f t="shared" si="34"/>
        <v>169.87</v>
      </c>
      <c r="AD46">
        <f>ROUND((((ET46)-(EU46))+AE46),6)</f>
        <v>0</v>
      </c>
      <c r="AE46">
        <f>ROUND((EU46),6)</f>
        <v>0</v>
      </c>
      <c r="AF46">
        <f>ROUND((EV46),6)</f>
        <v>0</v>
      </c>
      <c r="AG46">
        <f t="shared" si="35"/>
        <v>0</v>
      </c>
      <c r="AH46">
        <f>(EW46)</f>
        <v>0</v>
      </c>
      <c r="AI46">
        <f>(EX46)</f>
        <v>0</v>
      </c>
      <c r="AJ46">
        <f t="shared" si="36"/>
        <v>0</v>
      </c>
      <c r="AK46">
        <v>169.87</v>
      </c>
      <c r="AL46">
        <v>169.87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4.7699999999999996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1</v>
      </c>
      <c r="BJ46" t="s">
        <v>101</v>
      </c>
      <c r="BM46">
        <v>80</v>
      </c>
      <c r="BN46">
        <v>36862081</v>
      </c>
      <c r="BO46" t="s">
        <v>98</v>
      </c>
      <c r="BP46">
        <v>1</v>
      </c>
      <c r="BQ46">
        <v>30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0</v>
      </c>
      <c r="CA46">
        <v>0</v>
      </c>
      <c r="CB46" t="s">
        <v>3</v>
      </c>
      <c r="CE46">
        <v>30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37"/>
        <v>6887.4</v>
      </c>
      <c r="CQ46">
        <f t="shared" si="38"/>
        <v>810.28</v>
      </c>
      <c r="CR46">
        <f>(ROUND((ROUND(((ET46)*AV46*1),2)*BB46),2)+ROUND((ROUND(((AE46-(EU46))*AV46*1),2)*BS46),2))</f>
        <v>0</v>
      </c>
      <c r="CS46">
        <f t="shared" si="39"/>
        <v>0</v>
      </c>
      <c r="CT46">
        <f t="shared" si="40"/>
        <v>0</v>
      </c>
      <c r="CU46">
        <f t="shared" si="41"/>
        <v>0</v>
      </c>
      <c r="CV46">
        <f t="shared" si="42"/>
        <v>0</v>
      </c>
      <c r="CW46">
        <f t="shared" si="43"/>
        <v>0</v>
      </c>
      <c r="CX46">
        <f t="shared" si="44"/>
        <v>0</v>
      </c>
      <c r="CY46">
        <f t="shared" si="45"/>
        <v>0</v>
      </c>
      <c r="CZ46">
        <f t="shared" si="46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85</v>
      </c>
      <c r="DO46">
        <v>70</v>
      </c>
      <c r="DP46">
        <v>1</v>
      </c>
      <c r="DQ46">
        <v>1</v>
      </c>
      <c r="DU46">
        <v>1005</v>
      </c>
      <c r="DV46" t="s">
        <v>100</v>
      </c>
      <c r="DW46" t="s">
        <v>100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53212829</v>
      </c>
      <c r="EF46">
        <v>30</v>
      </c>
      <c r="EG46" t="s">
        <v>37</v>
      </c>
      <c r="EH46">
        <v>0</v>
      </c>
      <c r="EI46" t="s">
        <v>3</v>
      </c>
      <c r="EJ46">
        <v>1</v>
      </c>
      <c r="EK46">
        <v>80</v>
      </c>
      <c r="EL46" t="s">
        <v>105</v>
      </c>
      <c r="EM46" t="s">
        <v>106</v>
      </c>
      <c r="EO46" t="s">
        <v>3</v>
      </c>
      <c r="EQ46">
        <v>1024</v>
      </c>
      <c r="ER46">
        <v>169.87</v>
      </c>
      <c r="ES46">
        <v>169.87</v>
      </c>
      <c r="ET46">
        <v>0</v>
      </c>
      <c r="EU46">
        <v>0</v>
      </c>
      <c r="EV46">
        <v>0</v>
      </c>
      <c r="EW46">
        <v>0</v>
      </c>
      <c r="EX46">
        <v>0</v>
      </c>
      <c r="FQ46">
        <v>0</v>
      </c>
      <c r="FR46">
        <f t="shared" si="47"/>
        <v>0</v>
      </c>
      <c r="FS46">
        <v>0</v>
      </c>
      <c r="FX46">
        <v>85</v>
      </c>
      <c r="FY46">
        <v>70</v>
      </c>
      <c r="GA46" t="s">
        <v>3</v>
      </c>
      <c r="GD46">
        <v>0</v>
      </c>
      <c r="GF46">
        <v>1036276107</v>
      </c>
      <c r="GG46">
        <v>2</v>
      </c>
      <c r="GH46">
        <v>1</v>
      </c>
      <c r="GI46">
        <v>2</v>
      </c>
      <c r="GJ46">
        <v>0</v>
      </c>
      <c r="GK46">
        <f>ROUND(R46*(R12)/100,2)</f>
        <v>0</v>
      </c>
      <c r="GL46">
        <f t="shared" si="48"/>
        <v>0</v>
      </c>
      <c r="GM46">
        <f t="shared" ref="GM46:GM61" si="58">ROUND(O46+X46+Y46+GK46,2)+GX46</f>
        <v>6887.4</v>
      </c>
      <c r="GN46">
        <f t="shared" si="50"/>
        <v>6887.4</v>
      </c>
      <c r="GO46">
        <f t="shared" si="51"/>
        <v>0</v>
      </c>
      <c r="GP46">
        <f t="shared" si="52"/>
        <v>0</v>
      </c>
      <c r="GR46">
        <v>0</v>
      </c>
      <c r="GS46">
        <v>3</v>
      </c>
      <c r="GT46">
        <v>0</v>
      </c>
      <c r="GU46" t="s">
        <v>3</v>
      </c>
      <c r="GV46">
        <f t="shared" si="53"/>
        <v>0</v>
      </c>
      <c r="GW46">
        <v>1</v>
      </c>
      <c r="GX46">
        <f t="shared" si="54"/>
        <v>0</v>
      </c>
      <c r="HA46">
        <v>0</v>
      </c>
      <c r="HB46">
        <v>0</v>
      </c>
      <c r="HC46">
        <f t="shared" si="55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7" spans="1:245" x14ac:dyDescent="0.2">
      <c r="A47">
        <v>17</v>
      </c>
      <c r="B47">
        <v>1</v>
      </c>
      <c r="C47">
        <f>ROW(SmtRes!A39)</f>
        <v>39</v>
      </c>
      <c r="D47">
        <f>ROW(EtalonRes!A66)</f>
        <v>66</v>
      </c>
      <c r="E47" t="s">
        <v>107</v>
      </c>
      <c r="F47" t="s">
        <v>108</v>
      </c>
      <c r="G47" t="s">
        <v>109</v>
      </c>
      <c r="H47" t="s">
        <v>28</v>
      </c>
      <c r="I47">
        <f>ROUND(40/100,9)</f>
        <v>0.4</v>
      </c>
      <c r="J47">
        <v>0</v>
      </c>
      <c r="K47">
        <f>ROUND(40/100,9)</f>
        <v>0.4</v>
      </c>
      <c r="O47">
        <f t="shared" si="23"/>
        <v>29384.7</v>
      </c>
      <c r="P47">
        <f t="shared" si="24"/>
        <v>289.27</v>
      </c>
      <c r="Q47">
        <f>(ROUND((ROUND((((ET47*1.25))*AV47*I47),2)*BB47),2)+ROUND((ROUND(((AE47-((EU47*1.25)))*AV47*I47),2)*BS47),2))</f>
        <v>96.49</v>
      </c>
      <c r="R47">
        <f t="shared" si="25"/>
        <v>28.6</v>
      </c>
      <c r="S47">
        <f t="shared" si="26"/>
        <v>28998.94</v>
      </c>
      <c r="T47">
        <f t="shared" si="27"/>
        <v>0</v>
      </c>
      <c r="U47">
        <f t="shared" si="28"/>
        <v>80.959999999999994</v>
      </c>
      <c r="V47">
        <f t="shared" si="29"/>
        <v>0</v>
      </c>
      <c r="W47">
        <f t="shared" si="30"/>
        <v>0</v>
      </c>
      <c r="X47">
        <f t="shared" si="31"/>
        <v>24069.119999999999</v>
      </c>
      <c r="Y47">
        <f t="shared" si="32"/>
        <v>11889.57</v>
      </c>
      <c r="AA47">
        <v>53860087</v>
      </c>
      <c r="AB47">
        <f t="shared" si="33"/>
        <v>2532.42</v>
      </c>
      <c r="AC47">
        <f t="shared" si="34"/>
        <v>102.01</v>
      </c>
      <c r="AD47">
        <f>ROUND(((((ET47*1.25))-((EU47*1.25)))+AE47),6)</f>
        <v>21.85</v>
      </c>
      <c r="AE47">
        <f>ROUND(((EU47*1.25)),6)</f>
        <v>2.3624999999999998</v>
      </c>
      <c r="AF47">
        <f>ROUND(((EV47*1.15)),6)</f>
        <v>2408.56</v>
      </c>
      <c r="AG47">
        <f t="shared" si="35"/>
        <v>0</v>
      </c>
      <c r="AH47">
        <f>((EW47*1.15))</f>
        <v>202.39999999999998</v>
      </c>
      <c r="AI47">
        <f>((EX47*1.25))</f>
        <v>0</v>
      </c>
      <c r="AJ47">
        <f t="shared" si="36"/>
        <v>0</v>
      </c>
      <c r="AK47">
        <v>2213.89</v>
      </c>
      <c r="AL47">
        <v>102.01</v>
      </c>
      <c r="AM47">
        <v>17.48</v>
      </c>
      <c r="AN47">
        <v>1.89</v>
      </c>
      <c r="AO47">
        <v>2094.4</v>
      </c>
      <c r="AP47">
        <v>0</v>
      </c>
      <c r="AQ47">
        <v>176</v>
      </c>
      <c r="AR47">
        <v>0</v>
      </c>
      <c r="AS47">
        <v>0</v>
      </c>
      <c r="AT47">
        <v>83</v>
      </c>
      <c r="AU47">
        <v>41</v>
      </c>
      <c r="AV47">
        <v>1</v>
      </c>
      <c r="AW47">
        <v>1</v>
      </c>
      <c r="AZ47">
        <v>1</v>
      </c>
      <c r="BA47">
        <v>30.1</v>
      </c>
      <c r="BB47">
        <v>11.04</v>
      </c>
      <c r="BC47">
        <v>7.09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1</v>
      </c>
      <c r="BJ47" t="s">
        <v>110</v>
      </c>
      <c r="BM47">
        <v>113</v>
      </c>
      <c r="BN47">
        <v>36862081</v>
      </c>
      <c r="BO47" t="s">
        <v>108</v>
      </c>
      <c r="BP47">
        <v>1</v>
      </c>
      <c r="BQ47">
        <v>30</v>
      </c>
      <c r="BR47">
        <v>0</v>
      </c>
      <c r="BS47">
        <v>30.1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83</v>
      </c>
      <c r="CA47">
        <v>41</v>
      </c>
      <c r="CB47" t="s">
        <v>3</v>
      </c>
      <c r="CE47">
        <v>30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37"/>
        <v>29384.699999999997</v>
      </c>
      <c r="CQ47">
        <f t="shared" si="38"/>
        <v>723.25</v>
      </c>
      <c r="CR47">
        <f>(ROUND((ROUND((((ET47*1.25))*AV47*1),2)*BB47),2)+ROUND((ROUND(((AE47-((EU47*1.25)))*AV47*1),2)*BS47),2))</f>
        <v>241.22</v>
      </c>
      <c r="CS47">
        <f t="shared" si="39"/>
        <v>71.040000000000006</v>
      </c>
      <c r="CT47">
        <f t="shared" si="40"/>
        <v>72497.66</v>
      </c>
      <c r="CU47">
        <f t="shared" si="41"/>
        <v>0</v>
      </c>
      <c r="CV47">
        <f t="shared" si="42"/>
        <v>202.39999999999998</v>
      </c>
      <c r="CW47">
        <f t="shared" si="43"/>
        <v>0</v>
      </c>
      <c r="CX47">
        <f t="shared" si="44"/>
        <v>0</v>
      </c>
      <c r="CY47">
        <f t="shared" si="45"/>
        <v>24069.120199999998</v>
      </c>
      <c r="CZ47">
        <f t="shared" si="46"/>
        <v>11889.565399999999</v>
      </c>
      <c r="DC47" t="s">
        <v>3</v>
      </c>
      <c r="DD47" t="s">
        <v>3</v>
      </c>
      <c r="DE47" t="s">
        <v>51</v>
      </c>
      <c r="DF47" t="s">
        <v>51</v>
      </c>
      <c r="DG47" t="s">
        <v>52</v>
      </c>
      <c r="DH47" t="s">
        <v>3</v>
      </c>
      <c r="DI47" t="s">
        <v>52</v>
      </c>
      <c r="DJ47" t="s">
        <v>51</v>
      </c>
      <c r="DK47" t="s">
        <v>3</v>
      </c>
      <c r="DL47" t="s">
        <v>3</v>
      </c>
      <c r="DM47" t="s">
        <v>3</v>
      </c>
      <c r="DN47">
        <v>100</v>
      </c>
      <c r="DO47">
        <v>64</v>
      </c>
      <c r="DP47">
        <v>1</v>
      </c>
      <c r="DQ47">
        <v>1</v>
      </c>
      <c r="DU47">
        <v>1005</v>
      </c>
      <c r="DV47" t="s">
        <v>28</v>
      </c>
      <c r="DW47" t="s">
        <v>28</v>
      </c>
      <c r="DX47">
        <v>100</v>
      </c>
      <c r="DZ47" t="s">
        <v>3</v>
      </c>
      <c r="EA47" t="s">
        <v>3</v>
      </c>
      <c r="EB47" t="s">
        <v>3</v>
      </c>
      <c r="EC47" t="s">
        <v>3</v>
      </c>
      <c r="EE47">
        <v>53212862</v>
      </c>
      <c r="EF47">
        <v>30</v>
      </c>
      <c r="EG47" t="s">
        <v>37</v>
      </c>
      <c r="EH47">
        <v>0</v>
      </c>
      <c r="EI47" t="s">
        <v>3</v>
      </c>
      <c r="EJ47">
        <v>1</v>
      </c>
      <c r="EK47">
        <v>113</v>
      </c>
      <c r="EL47" t="s">
        <v>111</v>
      </c>
      <c r="EM47" t="s">
        <v>112</v>
      </c>
      <c r="EO47" t="s">
        <v>3</v>
      </c>
      <c r="EQ47">
        <v>0</v>
      </c>
      <c r="ER47">
        <v>2213.89</v>
      </c>
      <c r="ES47">
        <v>102.01</v>
      </c>
      <c r="ET47">
        <v>17.48</v>
      </c>
      <c r="EU47">
        <v>1.89</v>
      </c>
      <c r="EV47">
        <v>2094.4</v>
      </c>
      <c r="EW47">
        <v>176</v>
      </c>
      <c r="EX47">
        <v>0</v>
      </c>
      <c r="EY47">
        <v>0</v>
      </c>
      <c r="FQ47">
        <v>0</v>
      </c>
      <c r="FR47">
        <f t="shared" si="47"/>
        <v>0</v>
      </c>
      <c r="FS47">
        <v>0</v>
      </c>
      <c r="FX47">
        <v>100</v>
      </c>
      <c r="FY47">
        <v>64</v>
      </c>
      <c r="GA47" t="s">
        <v>3</v>
      </c>
      <c r="GD47">
        <v>0</v>
      </c>
      <c r="GF47">
        <v>1613053267</v>
      </c>
      <c r="GG47">
        <v>2</v>
      </c>
      <c r="GH47">
        <v>1</v>
      </c>
      <c r="GI47">
        <v>2</v>
      </c>
      <c r="GJ47">
        <v>0</v>
      </c>
      <c r="GK47">
        <f>ROUND(R47*(R12)/100,2)</f>
        <v>45.76</v>
      </c>
      <c r="GL47">
        <f t="shared" si="48"/>
        <v>0</v>
      </c>
      <c r="GM47">
        <f t="shared" si="58"/>
        <v>65389.15</v>
      </c>
      <c r="GN47">
        <f t="shared" si="50"/>
        <v>65389.15</v>
      </c>
      <c r="GO47">
        <f t="shared" si="51"/>
        <v>0</v>
      </c>
      <c r="GP47">
        <f t="shared" si="52"/>
        <v>0</v>
      </c>
      <c r="GR47">
        <v>0</v>
      </c>
      <c r="GS47">
        <v>3</v>
      </c>
      <c r="GT47">
        <v>0</v>
      </c>
      <c r="GU47" t="s">
        <v>3</v>
      </c>
      <c r="GV47">
        <f t="shared" si="53"/>
        <v>0</v>
      </c>
      <c r="GW47">
        <v>1</v>
      </c>
      <c r="GX47">
        <f t="shared" si="54"/>
        <v>0</v>
      </c>
      <c r="HA47">
        <v>0</v>
      </c>
      <c r="HB47">
        <v>0</v>
      </c>
      <c r="HC47">
        <f t="shared" si="55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IK47">
        <v>0</v>
      </c>
    </row>
    <row r="48" spans="1:245" x14ac:dyDescent="0.2">
      <c r="A48">
        <v>18</v>
      </c>
      <c r="B48">
        <v>1</v>
      </c>
      <c r="C48">
        <v>38</v>
      </c>
      <c r="E48" t="s">
        <v>113</v>
      </c>
      <c r="F48" t="s">
        <v>114</v>
      </c>
      <c r="G48" t="s">
        <v>115</v>
      </c>
      <c r="H48" t="s">
        <v>116</v>
      </c>
      <c r="I48">
        <f>I47*J48</f>
        <v>40</v>
      </c>
      <c r="J48">
        <v>100</v>
      </c>
      <c r="K48">
        <v>100</v>
      </c>
      <c r="O48">
        <f t="shared" si="23"/>
        <v>4051.71</v>
      </c>
      <c r="P48">
        <f t="shared" si="24"/>
        <v>4051.71</v>
      </c>
      <c r="Q48">
        <f>(ROUND((ROUND(((ET48)*AV48*I48),2)*BB48),2)+ROUND((ROUND(((AE48-(EU48))*AV48*I48),2)*BS48),2))</f>
        <v>0</v>
      </c>
      <c r="R48">
        <f t="shared" si="25"/>
        <v>0</v>
      </c>
      <c r="S48">
        <f t="shared" si="26"/>
        <v>0</v>
      </c>
      <c r="T48">
        <f t="shared" si="27"/>
        <v>0</v>
      </c>
      <c r="U48">
        <f t="shared" si="28"/>
        <v>0</v>
      </c>
      <c r="V48">
        <f t="shared" si="29"/>
        <v>0</v>
      </c>
      <c r="W48">
        <f t="shared" si="30"/>
        <v>0</v>
      </c>
      <c r="X48">
        <f t="shared" si="31"/>
        <v>0</v>
      </c>
      <c r="Y48">
        <f t="shared" si="32"/>
        <v>0</v>
      </c>
      <c r="AA48">
        <v>53860087</v>
      </c>
      <c r="AB48">
        <f t="shared" si="33"/>
        <v>21.28</v>
      </c>
      <c r="AC48">
        <f t="shared" si="34"/>
        <v>21.28</v>
      </c>
      <c r="AD48">
        <f>ROUND((((ET48)-(EU48))+AE48),6)</f>
        <v>0</v>
      </c>
      <c r="AE48">
        <f>ROUND((EU48),6)</f>
        <v>0</v>
      </c>
      <c r="AF48">
        <f>ROUND((EV48),6)</f>
        <v>0</v>
      </c>
      <c r="AG48">
        <f t="shared" si="35"/>
        <v>0</v>
      </c>
      <c r="AH48">
        <f>(EW48)</f>
        <v>0</v>
      </c>
      <c r="AI48">
        <f>(EX48)</f>
        <v>0</v>
      </c>
      <c r="AJ48">
        <f t="shared" si="36"/>
        <v>0</v>
      </c>
      <c r="AK48">
        <v>21.28</v>
      </c>
      <c r="AL48">
        <v>21.28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4.76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1</v>
      </c>
      <c r="BJ48" t="s">
        <v>117</v>
      </c>
      <c r="BM48">
        <v>113</v>
      </c>
      <c r="BN48">
        <v>36862081</v>
      </c>
      <c r="BO48" t="s">
        <v>114</v>
      </c>
      <c r="BP48">
        <v>1</v>
      </c>
      <c r="BQ48">
        <v>30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0</v>
      </c>
      <c r="CA48">
        <v>0</v>
      </c>
      <c r="CB48" t="s">
        <v>3</v>
      </c>
      <c r="CE48">
        <v>30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37"/>
        <v>4051.71</v>
      </c>
      <c r="CQ48">
        <f t="shared" si="38"/>
        <v>101.29</v>
      </c>
      <c r="CR48">
        <f>(ROUND((ROUND(((ET48)*AV48*1),2)*BB48),2)+ROUND((ROUND(((AE48-(EU48))*AV48*1),2)*BS48),2))</f>
        <v>0</v>
      </c>
      <c r="CS48">
        <f t="shared" si="39"/>
        <v>0</v>
      </c>
      <c r="CT48">
        <f t="shared" si="40"/>
        <v>0</v>
      </c>
      <c r="CU48">
        <f t="shared" si="41"/>
        <v>0</v>
      </c>
      <c r="CV48">
        <f t="shared" si="42"/>
        <v>0</v>
      </c>
      <c r="CW48">
        <f t="shared" si="43"/>
        <v>0</v>
      </c>
      <c r="CX48">
        <f t="shared" si="44"/>
        <v>0</v>
      </c>
      <c r="CY48">
        <f t="shared" si="45"/>
        <v>0</v>
      </c>
      <c r="CZ48">
        <f t="shared" si="46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100</v>
      </c>
      <c r="DO48">
        <v>64</v>
      </c>
      <c r="DP48">
        <v>1</v>
      </c>
      <c r="DQ48">
        <v>1</v>
      </c>
      <c r="DU48">
        <v>1013</v>
      </c>
      <c r="DV48" t="s">
        <v>116</v>
      </c>
      <c r="DW48" t="s">
        <v>116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53212862</v>
      </c>
      <c r="EF48">
        <v>30</v>
      </c>
      <c r="EG48" t="s">
        <v>37</v>
      </c>
      <c r="EH48">
        <v>0</v>
      </c>
      <c r="EI48" t="s">
        <v>3</v>
      </c>
      <c r="EJ48">
        <v>1</v>
      </c>
      <c r="EK48">
        <v>113</v>
      </c>
      <c r="EL48" t="s">
        <v>111</v>
      </c>
      <c r="EM48" t="s">
        <v>112</v>
      </c>
      <c r="EO48" t="s">
        <v>3</v>
      </c>
      <c r="EQ48">
        <v>0</v>
      </c>
      <c r="ER48">
        <v>21.28</v>
      </c>
      <c r="ES48">
        <v>21.28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47"/>
        <v>0</v>
      </c>
      <c r="FS48">
        <v>0</v>
      </c>
      <c r="FX48">
        <v>100</v>
      </c>
      <c r="FY48">
        <v>64</v>
      </c>
      <c r="GA48" t="s">
        <v>3</v>
      </c>
      <c r="GD48">
        <v>0</v>
      </c>
      <c r="GF48">
        <v>-1842883797</v>
      </c>
      <c r="GG48">
        <v>2</v>
      </c>
      <c r="GH48">
        <v>1</v>
      </c>
      <c r="GI48">
        <v>2</v>
      </c>
      <c r="GJ48">
        <v>0</v>
      </c>
      <c r="GK48">
        <f>ROUND(R48*(R12)/100,2)</f>
        <v>0</v>
      </c>
      <c r="GL48">
        <f t="shared" si="48"/>
        <v>0</v>
      </c>
      <c r="GM48">
        <f t="shared" si="58"/>
        <v>4051.71</v>
      </c>
      <c r="GN48">
        <f t="shared" si="50"/>
        <v>4051.71</v>
      </c>
      <c r="GO48">
        <f t="shared" si="51"/>
        <v>0</v>
      </c>
      <c r="GP48">
        <f t="shared" si="52"/>
        <v>0</v>
      </c>
      <c r="GR48">
        <v>0</v>
      </c>
      <c r="GS48">
        <v>3</v>
      </c>
      <c r="GT48">
        <v>0</v>
      </c>
      <c r="GU48" t="s">
        <v>3</v>
      </c>
      <c r="GV48">
        <f t="shared" si="53"/>
        <v>0</v>
      </c>
      <c r="GW48">
        <v>1</v>
      </c>
      <c r="GX48">
        <f t="shared" si="54"/>
        <v>0</v>
      </c>
      <c r="HA48">
        <v>0</v>
      </c>
      <c r="HB48">
        <v>0</v>
      </c>
      <c r="HC48">
        <f t="shared" si="55"/>
        <v>0</v>
      </c>
      <c r="HE48" t="s">
        <v>3</v>
      </c>
      <c r="HF48" t="s">
        <v>3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IK48">
        <v>0</v>
      </c>
    </row>
    <row r="49" spans="1:245" x14ac:dyDescent="0.2">
      <c r="A49">
        <v>18</v>
      </c>
      <c r="B49">
        <v>1</v>
      </c>
      <c r="C49">
        <v>36</v>
      </c>
      <c r="E49" t="s">
        <v>118</v>
      </c>
      <c r="F49" t="s">
        <v>119</v>
      </c>
      <c r="G49" t="s">
        <v>120</v>
      </c>
      <c r="H49" t="s">
        <v>100</v>
      </c>
      <c r="I49">
        <f>I47*J49</f>
        <v>34</v>
      </c>
      <c r="J49">
        <v>85</v>
      </c>
      <c r="K49">
        <v>85</v>
      </c>
      <c r="O49">
        <f t="shared" si="23"/>
        <v>38108.639999999999</v>
      </c>
      <c r="P49">
        <f t="shared" si="24"/>
        <v>38108.639999999999</v>
      </c>
      <c r="Q49">
        <f>(ROUND((ROUND(((ET49)*AV49*I49),2)*BB49),2)+ROUND((ROUND(((AE49-(EU49))*AV49*I49),2)*BS49),2))</f>
        <v>0</v>
      </c>
      <c r="R49">
        <f t="shared" si="25"/>
        <v>0</v>
      </c>
      <c r="S49">
        <f t="shared" si="26"/>
        <v>0</v>
      </c>
      <c r="T49">
        <f t="shared" si="27"/>
        <v>0</v>
      </c>
      <c r="U49">
        <f t="shared" si="28"/>
        <v>0</v>
      </c>
      <c r="V49">
        <f t="shared" si="29"/>
        <v>0</v>
      </c>
      <c r="W49">
        <f t="shared" si="30"/>
        <v>0</v>
      </c>
      <c r="X49">
        <f t="shared" si="31"/>
        <v>0</v>
      </c>
      <c r="Y49">
        <f t="shared" si="32"/>
        <v>0</v>
      </c>
      <c r="AA49">
        <v>53860087</v>
      </c>
      <c r="AB49">
        <f t="shared" si="33"/>
        <v>138.88999999999999</v>
      </c>
      <c r="AC49">
        <f t="shared" si="34"/>
        <v>138.88999999999999</v>
      </c>
      <c r="AD49">
        <f>ROUND((((ET49)-(EU49))+AE49),6)</f>
        <v>0</v>
      </c>
      <c r="AE49">
        <f>ROUND((EU49),6)</f>
        <v>0</v>
      </c>
      <c r="AF49">
        <f>ROUND((EV49),6)</f>
        <v>0</v>
      </c>
      <c r="AG49">
        <f t="shared" si="35"/>
        <v>0</v>
      </c>
      <c r="AH49">
        <f>(EW49)</f>
        <v>0</v>
      </c>
      <c r="AI49">
        <f>(EX49)</f>
        <v>0</v>
      </c>
      <c r="AJ49">
        <f t="shared" si="36"/>
        <v>0</v>
      </c>
      <c r="AK49">
        <v>138.88999999999999</v>
      </c>
      <c r="AL49">
        <v>138.88999999999999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8.07</v>
      </c>
      <c r="BD49" t="s">
        <v>3</v>
      </c>
      <c r="BE49" t="s">
        <v>3</v>
      </c>
      <c r="BF49" t="s">
        <v>3</v>
      </c>
      <c r="BG49" t="s">
        <v>3</v>
      </c>
      <c r="BH49">
        <v>3</v>
      </c>
      <c r="BI49">
        <v>1</v>
      </c>
      <c r="BJ49" t="s">
        <v>121</v>
      </c>
      <c r="BM49">
        <v>113</v>
      </c>
      <c r="BN49">
        <v>36862081</v>
      </c>
      <c r="BO49" t="s">
        <v>119</v>
      </c>
      <c r="BP49">
        <v>1</v>
      </c>
      <c r="BQ49">
        <v>30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0</v>
      </c>
      <c r="CA49">
        <v>0</v>
      </c>
      <c r="CB49" t="s">
        <v>3</v>
      </c>
      <c r="CE49">
        <v>30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37"/>
        <v>38108.639999999999</v>
      </c>
      <c r="CQ49">
        <f t="shared" si="38"/>
        <v>1120.8399999999999</v>
      </c>
      <c r="CR49">
        <f>(ROUND((ROUND(((ET49)*AV49*1),2)*BB49),2)+ROUND((ROUND(((AE49-(EU49))*AV49*1),2)*BS49),2))</f>
        <v>0</v>
      </c>
      <c r="CS49">
        <f t="shared" si="39"/>
        <v>0</v>
      </c>
      <c r="CT49">
        <f t="shared" si="40"/>
        <v>0</v>
      </c>
      <c r="CU49">
        <f t="shared" si="41"/>
        <v>0</v>
      </c>
      <c r="CV49">
        <f t="shared" si="42"/>
        <v>0</v>
      </c>
      <c r="CW49">
        <f t="shared" si="43"/>
        <v>0</v>
      </c>
      <c r="CX49">
        <f t="shared" si="44"/>
        <v>0</v>
      </c>
      <c r="CY49">
        <f t="shared" si="45"/>
        <v>0</v>
      </c>
      <c r="CZ49">
        <f t="shared" si="46"/>
        <v>0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100</v>
      </c>
      <c r="DO49">
        <v>64</v>
      </c>
      <c r="DP49">
        <v>1</v>
      </c>
      <c r="DQ49">
        <v>1</v>
      </c>
      <c r="DU49">
        <v>1005</v>
      </c>
      <c r="DV49" t="s">
        <v>100</v>
      </c>
      <c r="DW49" t="s">
        <v>100</v>
      </c>
      <c r="DX49">
        <v>1</v>
      </c>
      <c r="DZ49" t="s">
        <v>3</v>
      </c>
      <c r="EA49" t="s">
        <v>3</v>
      </c>
      <c r="EB49" t="s">
        <v>3</v>
      </c>
      <c r="EC49" t="s">
        <v>3</v>
      </c>
      <c r="EE49">
        <v>53212862</v>
      </c>
      <c r="EF49">
        <v>30</v>
      </c>
      <c r="EG49" t="s">
        <v>37</v>
      </c>
      <c r="EH49">
        <v>0</v>
      </c>
      <c r="EI49" t="s">
        <v>3</v>
      </c>
      <c r="EJ49">
        <v>1</v>
      </c>
      <c r="EK49">
        <v>113</v>
      </c>
      <c r="EL49" t="s">
        <v>111</v>
      </c>
      <c r="EM49" t="s">
        <v>112</v>
      </c>
      <c r="EO49" t="s">
        <v>3</v>
      </c>
      <c r="EQ49">
        <v>0</v>
      </c>
      <c r="ER49">
        <v>138.88999999999999</v>
      </c>
      <c r="ES49">
        <v>138.88999999999999</v>
      </c>
      <c r="ET49">
        <v>0</v>
      </c>
      <c r="EU49">
        <v>0</v>
      </c>
      <c r="EV49">
        <v>0</v>
      </c>
      <c r="EW49">
        <v>0</v>
      </c>
      <c r="EX49">
        <v>0</v>
      </c>
      <c r="FQ49">
        <v>0</v>
      </c>
      <c r="FR49">
        <f t="shared" si="47"/>
        <v>0</v>
      </c>
      <c r="FS49">
        <v>0</v>
      </c>
      <c r="FX49">
        <v>100</v>
      </c>
      <c r="FY49">
        <v>64</v>
      </c>
      <c r="GA49" t="s">
        <v>3</v>
      </c>
      <c r="GD49">
        <v>0</v>
      </c>
      <c r="GF49">
        <v>1822655734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48"/>
        <v>0</v>
      </c>
      <c r="GM49">
        <f t="shared" si="58"/>
        <v>38108.639999999999</v>
      </c>
      <c r="GN49">
        <f t="shared" si="50"/>
        <v>38108.639999999999</v>
      </c>
      <c r="GO49">
        <f t="shared" si="51"/>
        <v>0</v>
      </c>
      <c r="GP49">
        <f t="shared" si="52"/>
        <v>0</v>
      </c>
      <c r="GR49">
        <v>0</v>
      </c>
      <c r="GS49">
        <v>3</v>
      </c>
      <c r="GT49">
        <v>0</v>
      </c>
      <c r="GU49" t="s">
        <v>3</v>
      </c>
      <c r="GV49">
        <f t="shared" si="53"/>
        <v>0</v>
      </c>
      <c r="GW49">
        <v>1</v>
      </c>
      <c r="GX49">
        <f t="shared" si="54"/>
        <v>0</v>
      </c>
      <c r="HA49">
        <v>0</v>
      </c>
      <c r="HB49">
        <v>0</v>
      </c>
      <c r="HC49">
        <f t="shared" si="55"/>
        <v>0</v>
      </c>
      <c r="HE49" t="s">
        <v>3</v>
      </c>
      <c r="HF49" t="s">
        <v>3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IK49">
        <v>0</v>
      </c>
    </row>
    <row r="50" spans="1:245" x14ac:dyDescent="0.2">
      <c r="A50">
        <v>17</v>
      </c>
      <c r="B50">
        <v>1</v>
      </c>
      <c r="C50">
        <f>ROW(SmtRes!A62)</f>
        <v>62</v>
      </c>
      <c r="D50">
        <f>ROW(EtalonRes!A89)</f>
        <v>89</v>
      </c>
      <c r="E50" t="s">
        <v>3</v>
      </c>
      <c r="F50" t="s">
        <v>32</v>
      </c>
      <c r="G50" t="s">
        <v>122</v>
      </c>
      <c r="H50" t="s">
        <v>28</v>
      </c>
      <c r="I50">
        <f>ROUND(470/100,9)</f>
        <v>4.7</v>
      </c>
      <c r="J50">
        <v>0</v>
      </c>
      <c r="K50">
        <f>ROUND(470/100,9)</f>
        <v>4.7</v>
      </c>
      <c r="O50">
        <f t="shared" si="23"/>
        <v>358128.7</v>
      </c>
      <c r="P50">
        <f t="shared" si="24"/>
        <v>146066.71</v>
      </c>
      <c r="Q50">
        <f>(ROUND((ROUND((((ET50*1.25))*AV50*I50),2)*BB50),2)+ROUND((ROUND(((AE50-((EU50*1.25)))*AV50*I50),2)*BS50),2))</f>
        <v>3440.7</v>
      </c>
      <c r="R50">
        <f t="shared" si="25"/>
        <v>995.71</v>
      </c>
      <c r="S50">
        <f t="shared" si="26"/>
        <v>208621.29</v>
      </c>
      <c r="T50">
        <f t="shared" si="27"/>
        <v>0</v>
      </c>
      <c r="U50">
        <f t="shared" si="28"/>
        <v>583.36165000000005</v>
      </c>
      <c r="V50">
        <f t="shared" si="29"/>
        <v>0</v>
      </c>
      <c r="W50">
        <f t="shared" si="30"/>
        <v>0</v>
      </c>
      <c r="X50">
        <f t="shared" si="31"/>
        <v>156465.97</v>
      </c>
      <c r="Y50">
        <f t="shared" si="32"/>
        <v>85534.73</v>
      </c>
      <c r="AA50">
        <v>-1</v>
      </c>
      <c r="AB50">
        <f t="shared" si="33"/>
        <v>10125.2955</v>
      </c>
      <c r="AC50">
        <f t="shared" si="34"/>
        <v>8585.09</v>
      </c>
      <c r="AD50">
        <f>ROUND(((((ET50*1.25))-((EU50*1.25)))+AE50),6)</f>
        <v>65.537499999999994</v>
      </c>
      <c r="AE50">
        <f>ROUND(((EU50*1.25)),6)</f>
        <v>7.0374999999999996</v>
      </c>
      <c r="AF50">
        <f>ROUND(((EV50*1.15)),6)</f>
        <v>1474.6679999999999</v>
      </c>
      <c r="AG50">
        <f t="shared" si="35"/>
        <v>0</v>
      </c>
      <c r="AH50">
        <f>((EW50*1.15))</f>
        <v>124.1195</v>
      </c>
      <c r="AI50">
        <f>((EX50*1.25))</f>
        <v>0</v>
      </c>
      <c r="AJ50">
        <f t="shared" si="36"/>
        <v>0</v>
      </c>
      <c r="AK50">
        <v>9919.84</v>
      </c>
      <c r="AL50">
        <v>8585.09</v>
      </c>
      <c r="AM50">
        <v>52.43</v>
      </c>
      <c r="AN50">
        <v>5.63</v>
      </c>
      <c r="AO50">
        <v>1282.32</v>
      </c>
      <c r="AP50">
        <v>0</v>
      </c>
      <c r="AQ50">
        <v>107.93</v>
      </c>
      <c r="AR50">
        <v>0</v>
      </c>
      <c r="AS50">
        <v>0</v>
      </c>
      <c r="AT50">
        <v>75</v>
      </c>
      <c r="AU50">
        <v>41</v>
      </c>
      <c r="AV50">
        <v>1</v>
      </c>
      <c r="AW50">
        <v>1</v>
      </c>
      <c r="AZ50">
        <v>1</v>
      </c>
      <c r="BA50">
        <v>30.1</v>
      </c>
      <c r="BB50">
        <v>11.17</v>
      </c>
      <c r="BC50">
        <v>3.62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1</v>
      </c>
      <c r="BJ50" t="s">
        <v>34</v>
      </c>
      <c r="BM50">
        <v>1661</v>
      </c>
      <c r="BN50">
        <v>36862081</v>
      </c>
      <c r="BO50" t="s">
        <v>32</v>
      </c>
      <c r="BP50">
        <v>1</v>
      </c>
      <c r="BQ50">
        <v>30</v>
      </c>
      <c r="BR50">
        <v>0</v>
      </c>
      <c r="BS50">
        <v>30.1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75</v>
      </c>
      <c r="CA50">
        <v>41</v>
      </c>
      <c r="CB50" t="s">
        <v>3</v>
      </c>
      <c r="CE50">
        <v>30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37"/>
        <v>358128.7</v>
      </c>
      <c r="CQ50">
        <f t="shared" si="38"/>
        <v>31078.03</v>
      </c>
      <c r="CR50">
        <f>(ROUND((ROUND((((ET50*1.25))*AV50*1),2)*BB50),2)+ROUND((ROUND(((AE50-((EU50*1.25)))*AV50*1),2)*BS50),2))</f>
        <v>732.08</v>
      </c>
      <c r="CS50">
        <f t="shared" si="39"/>
        <v>211.9</v>
      </c>
      <c r="CT50">
        <f t="shared" si="40"/>
        <v>44387.57</v>
      </c>
      <c r="CU50">
        <f t="shared" si="41"/>
        <v>0</v>
      </c>
      <c r="CV50">
        <f t="shared" si="42"/>
        <v>124.1195</v>
      </c>
      <c r="CW50">
        <f t="shared" si="43"/>
        <v>0</v>
      </c>
      <c r="CX50">
        <f t="shared" si="44"/>
        <v>0</v>
      </c>
      <c r="CY50">
        <f t="shared" si="45"/>
        <v>156465.9675</v>
      </c>
      <c r="CZ50">
        <f t="shared" si="46"/>
        <v>85534.728900000002</v>
      </c>
      <c r="DC50" t="s">
        <v>3</v>
      </c>
      <c r="DD50" t="s">
        <v>3</v>
      </c>
      <c r="DE50" t="s">
        <v>51</v>
      </c>
      <c r="DF50" t="s">
        <v>51</v>
      </c>
      <c r="DG50" t="s">
        <v>52</v>
      </c>
      <c r="DH50" t="s">
        <v>3</v>
      </c>
      <c r="DI50" t="s">
        <v>52</v>
      </c>
      <c r="DJ50" t="s">
        <v>51</v>
      </c>
      <c r="DK50" t="s">
        <v>3</v>
      </c>
      <c r="DL50" t="s">
        <v>3</v>
      </c>
      <c r="DM50" t="s">
        <v>3</v>
      </c>
      <c r="DN50">
        <v>91</v>
      </c>
      <c r="DO50">
        <v>70</v>
      </c>
      <c r="DP50">
        <v>1</v>
      </c>
      <c r="DQ50">
        <v>1</v>
      </c>
      <c r="DU50">
        <v>1005</v>
      </c>
      <c r="DV50" t="s">
        <v>28</v>
      </c>
      <c r="DW50" t="s">
        <v>28</v>
      </c>
      <c r="DX50">
        <v>100</v>
      </c>
      <c r="DZ50" t="s">
        <v>3</v>
      </c>
      <c r="EA50" t="s">
        <v>3</v>
      </c>
      <c r="EB50" t="s">
        <v>3</v>
      </c>
      <c r="EC50" t="s">
        <v>3</v>
      </c>
      <c r="EE50">
        <v>53214410</v>
      </c>
      <c r="EF50">
        <v>30</v>
      </c>
      <c r="EG50" t="s">
        <v>37</v>
      </c>
      <c r="EH50">
        <v>0</v>
      </c>
      <c r="EI50" t="s">
        <v>3</v>
      </c>
      <c r="EJ50">
        <v>1</v>
      </c>
      <c r="EK50">
        <v>1661</v>
      </c>
      <c r="EL50" t="s">
        <v>38</v>
      </c>
      <c r="EM50" t="s">
        <v>39</v>
      </c>
      <c r="EO50" t="s">
        <v>3</v>
      </c>
      <c r="EQ50">
        <v>1024</v>
      </c>
      <c r="ER50">
        <v>9919.84</v>
      </c>
      <c r="ES50">
        <v>8585.09</v>
      </c>
      <c r="ET50">
        <v>52.43</v>
      </c>
      <c r="EU50">
        <v>5.63</v>
      </c>
      <c r="EV50">
        <v>1282.32</v>
      </c>
      <c r="EW50">
        <v>107.93</v>
      </c>
      <c r="EX50">
        <v>0</v>
      </c>
      <c r="EY50">
        <v>0</v>
      </c>
      <c r="FQ50">
        <v>0</v>
      </c>
      <c r="FR50">
        <f t="shared" si="47"/>
        <v>0</v>
      </c>
      <c r="FS50">
        <v>0</v>
      </c>
      <c r="FX50">
        <v>91</v>
      </c>
      <c r="FY50">
        <v>70</v>
      </c>
      <c r="GA50" t="s">
        <v>3</v>
      </c>
      <c r="GD50">
        <v>0</v>
      </c>
      <c r="GF50">
        <v>-1654808558</v>
      </c>
      <c r="GG50">
        <v>2</v>
      </c>
      <c r="GH50">
        <v>1</v>
      </c>
      <c r="GI50">
        <v>2</v>
      </c>
      <c r="GJ50">
        <v>0</v>
      </c>
      <c r="GK50">
        <f>ROUND(R50*(R12)/100,2)</f>
        <v>1593.14</v>
      </c>
      <c r="GL50">
        <f t="shared" si="48"/>
        <v>0</v>
      </c>
      <c r="GM50">
        <f t="shared" si="58"/>
        <v>601722.54</v>
      </c>
      <c r="GN50">
        <f t="shared" si="50"/>
        <v>601722.54</v>
      </c>
      <c r="GO50">
        <f t="shared" si="51"/>
        <v>0</v>
      </c>
      <c r="GP50">
        <f t="shared" si="52"/>
        <v>0</v>
      </c>
      <c r="GR50">
        <v>0</v>
      </c>
      <c r="GS50">
        <v>3</v>
      </c>
      <c r="GT50">
        <v>0</v>
      </c>
      <c r="GU50" t="s">
        <v>3</v>
      </c>
      <c r="GV50">
        <f t="shared" si="53"/>
        <v>0</v>
      </c>
      <c r="GW50">
        <v>1</v>
      </c>
      <c r="GX50">
        <f t="shared" si="54"/>
        <v>0</v>
      </c>
      <c r="HA50">
        <v>0</v>
      </c>
      <c r="HB50">
        <v>0</v>
      </c>
      <c r="HC50">
        <f t="shared" si="55"/>
        <v>0</v>
      </c>
      <c r="HE50" t="s">
        <v>3</v>
      </c>
      <c r="HF50" t="s">
        <v>3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IK50">
        <v>0</v>
      </c>
    </row>
    <row r="51" spans="1:245" x14ac:dyDescent="0.2">
      <c r="A51">
        <v>18</v>
      </c>
      <c r="B51">
        <v>1</v>
      </c>
      <c r="C51">
        <v>50</v>
      </c>
      <c r="E51" t="s">
        <v>3</v>
      </c>
      <c r="F51" t="s">
        <v>123</v>
      </c>
      <c r="G51" t="s">
        <v>124</v>
      </c>
      <c r="H51" t="s">
        <v>125</v>
      </c>
      <c r="I51">
        <f>I50*J51</f>
        <v>634.5</v>
      </c>
      <c r="J51">
        <v>135</v>
      </c>
      <c r="K51">
        <v>135</v>
      </c>
      <c r="O51">
        <f t="shared" si="23"/>
        <v>4162.62</v>
      </c>
      <c r="P51">
        <f t="shared" si="24"/>
        <v>4162.62</v>
      </c>
      <c r="Q51">
        <f>(ROUND((ROUND(((ET51)*AV51*I51),2)*BB51),2)+ROUND((ROUND(((AE51-(EU51))*AV51*I51),2)*BS51),2))</f>
        <v>0</v>
      </c>
      <c r="R51">
        <f t="shared" si="25"/>
        <v>0</v>
      </c>
      <c r="S51">
        <f t="shared" si="26"/>
        <v>0</v>
      </c>
      <c r="T51">
        <f t="shared" si="27"/>
        <v>0</v>
      </c>
      <c r="U51">
        <f t="shared" si="28"/>
        <v>0</v>
      </c>
      <c r="V51">
        <f t="shared" si="29"/>
        <v>0</v>
      </c>
      <c r="W51">
        <f t="shared" si="30"/>
        <v>0</v>
      </c>
      <c r="X51">
        <f t="shared" si="31"/>
        <v>0</v>
      </c>
      <c r="Y51">
        <f t="shared" si="32"/>
        <v>0</v>
      </c>
      <c r="AA51">
        <v>-1</v>
      </c>
      <c r="AB51">
        <f t="shared" si="33"/>
        <v>0.71</v>
      </c>
      <c r="AC51">
        <f t="shared" si="34"/>
        <v>0.71</v>
      </c>
      <c r="AD51">
        <f>ROUND((((ET51)-(EU51))+AE51),6)</f>
        <v>0</v>
      </c>
      <c r="AE51">
        <f t="shared" ref="AE51:AF53" si="59">ROUND((EU51),6)</f>
        <v>0</v>
      </c>
      <c r="AF51">
        <f t="shared" si="59"/>
        <v>0</v>
      </c>
      <c r="AG51">
        <f t="shared" si="35"/>
        <v>0</v>
      </c>
      <c r="AH51">
        <f t="shared" ref="AH51:AI53" si="60">(EW51)</f>
        <v>0</v>
      </c>
      <c r="AI51">
        <f t="shared" si="60"/>
        <v>0</v>
      </c>
      <c r="AJ51">
        <f t="shared" si="36"/>
        <v>0</v>
      </c>
      <c r="AK51">
        <v>0.71</v>
      </c>
      <c r="AL51">
        <v>0.71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9.24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1</v>
      </c>
      <c r="BJ51" t="s">
        <v>126</v>
      </c>
      <c r="BM51">
        <v>1661</v>
      </c>
      <c r="BN51">
        <v>36862081</v>
      </c>
      <c r="BO51" t="s">
        <v>123</v>
      </c>
      <c r="BP51">
        <v>1</v>
      </c>
      <c r="BQ51">
        <v>30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0</v>
      </c>
      <c r="CA51">
        <v>0</v>
      </c>
      <c r="CB51" t="s">
        <v>3</v>
      </c>
      <c r="CE51">
        <v>30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37"/>
        <v>4162.62</v>
      </c>
      <c r="CQ51">
        <f t="shared" si="38"/>
        <v>6.56</v>
      </c>
      <c r="CR51">
        <f>(ROUND((ROUND(((ET51)*AV51*1),2)*BB51),2)+ROUND((ROUND(((AE51-(EU51))*AV51*1),2)*BS51),2))</f>
        <v>0</v>
      </c>
      <c r="CS51">
        <f t="shared" si="39"/>
        <v>0</v>
      </c>
      <c r="CT51">
        <f t="shared" si="40"/>
        <v>0</v>
      </c>
      <c r="CU51">
        <f t="shared" si="41"/>
        <v>0</v>
      </c>
      <c r="CV51">
        <f t="shared" si="42"/>
        <v>0</v>
      </c>
      <c r="CW51">
        <f t="shared" si="43"/>
        <v>0</v>
      </c>
      <c r="CX51">
        <f t="shared" si="44"/>
        <v>0</v>
      </c>
      <c r="CY51">
        <f t="shared" si="45"/>
        <v>0</v>
      </c>
      <c r="CZ51">
        <f t="shared" si="46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91</v>
      </c>
      <c r="DO51">
        <v>70</v>
      </c>
      <c r="DP51">
        <v>1</v>
      </c>
      <c r="DQ51">
        <v>1</v>
      </c>
      <c r="DU51">
        <v>1003</v>
      </c>
      <c r="DV51" t="s">
        <v>125</v>
      </c>
      <c r="DW51" t="s">
        <v>125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53214410</v>
      </c>
      <c r="EF51">
        <v>30</v>
      </c>
      <c r="EG51" t="s">
        <v>37</v>
      </c>
      <c r="EH51">
        <v>0</v>
      </c>
      <c r="EI51" t="s">
        <v>3</v>
      </c>
      <c r="EJ51">
        <v>1</v>
      </c>
      <c r="EK51">
        <v>1661</v>
      </c>
      <c r="EL51" t="s">
        <v>38</v>
      </c>
      <c r="EM51" t="s">
        <v>39</v>
      </c>
      <c r="EO51" t="s">
        <v>3</v>
      </c>
      <c r="EQ51">
        <v>1024</v>
      </c>
      <c r="ER51">
        <v>0.71</v>
      </c>
      <c r="ES51">
        <v>0.71</v>
      </c>
      <c r="ET51">
        <v>0</v>
      </c>
      <c r="EU51">
        <v>0</v>
      </c>
      <c r="EV51">
        <v>0</v>
      </c>
      <c r="EW51">
        <v>0</v>
      </c>
      <c r="EX51">
        <v>0</v>
      </c>
      <c r="FQ51">
        <v>0</v>
      </c>
      <c r="FR51">
        <f t="shared" si="47"/>
        <v>0</v>
      </c>
      <c r="FS51">
        <v>0</v>
      </c>
      <c r="FX51">
        <v>91</v>
      </c>
      <c r="FY51">
        <v>70</v>
      </c>
      <c r="GA51" t="s">
        <v>3</v>
      </c>
      <c r="GD51">
        <v>0</v>
      </c>
      <c r="GF51">
        <v>-1897368516</v>
      </c>
      <c r="GG51">
        <v>2</v>
      </c>
      <c r="GH51">
        <v>1</v>
      </c>
      <c r="GI51">
        <v>2</v>
      </c>
      <c r="GJ51">
        <v>0</v>
      </c>
      <c r="GK51">
        <f>ROUND(R51*(R12)/100,2)</f>
        <v>0</v>
      </c>
      <c r="GL51">
        <f t="shared" si="48"/>
        <v>0</v>
      </c>
      <c r="GM51">
        <f t="shared" si="58"/>
        <v>4162.62</v>
      </c>
      <c r="GN51">
        <f t="shared" si="50"/>
        <v>4162.62</v>
      </c>
      <c r="GO51">
        <f t="shared" si="51"/>
        <v>0</v>
      </c>
      <c r="GP51">
        <f t="shared" si="52"/>
        <v>0</v>
      </c>
      <c r="GR51">
        <v>0</v>
      </c>
      <c r="GS51">
        <v>3</v>
      </c>
      <c r="GT51">
        <v>0</v>
      </c>
      <c r="GU51" t="s">
        <v>3</v>
      </c>
      <c r="GV51">
        <f t="shared" si="53"/>
        <v>0</v>
      </c>
      <c r="GW51">
        <v>1</v>
      </c>
      <c r="GX51">
        <f t="shared" si="54"/>
        <v>0</v>
      </c>
      <c r="HA51">
        <v>0</v>
      </c>
      <c r="HB51">
        <v>0</v>
      </c>
      <c r="HC51">
        <f t="shared" si="55"/>
        <v>0</v>
      </c>
      <c r="HE51" t="s">
        <v>3</v>
      </c>
      <c r="HF51" t="s">
        <v>3</v>
      </c>
      <c r="HM51" t="s">
        <v>3</v>
      </c>
      <c r="HN51" t="s">
        <v>3</v>
      </c>
      <c r="HO51" t="s">
        <v>3</v>
      </c>
      <c r="HP51" t="s">
        <v>3</v>
      </c>
      <c r="HQ51" t="s">
        <v>3</v>
      </c>
      <c r="IK51">
        <v>0</v>
      </c>
    </row>
    <row r="52" spans="1:245" x14ac:dyDescent="0.2">
      <c r="A52">
        <v>18</v>
      </c>
      <c r="B52">
        <v>1</v>
      </c>
      <c r="C52">
        <v>61</v>
      </c>
      <c r="E52" t="s">
        <v>3</v>
      </c>
      <c r="F52" t="s">
        <v>127</v>
      </c>
      <c r="G52" t="s">
        <v>128</v>
      </c>
      <c r="H52" t="s">
        <v>129</v>
      </c>
      <c r="I52">
        <f>I50*J52</f>
        <v>3.8069999999999999</v>
      </c>
      <c r="J52">
        <v>0.80999999999999994</v>
      </c>
      <c r="K52">
        <v>0.81</v>
      </c>
      <c r="O52">
        <f t="shared" si="23"/>
        <v>2811.64</v>
      </c>
      <c r="P52">
        <f t="shared" si="24"/>
        <v>2811.64</v>
      </c>
      <c r="Q52">
        <f>(ROUND((ROUND(((ET52)*AV52*I52),2)*BB52),2)+ROUND((ROUND(((AE52-(EU52))*AV52*I52),2)*BS52),2))</f>
        <v>0</v>
      </c>
      <c r="R52">
        <f t="shared" si="25"/>
        <v>0</v>
      </c>
      <c r="S52">
        <f t="shared" si="26"/>
        <v>0</v>
      </c>
      <c r="T52">
        <f t="shared" si="27"/>
        <v>0</v>
      </c>
      <c r="U52">
        <f t="shared" si="28"/>
        <v>0</v>
      </c>
      <c r="V52">
        <f t="shared" si="29"/>
        <v>0</v>
      </c>
      <c r="W52">
        <f t="shared" si="30"/>
        <v>0</v>
      </c>
      <c r="X52">
        <f t="shared" si="31"/>
        <v>0</v>
      </c>
      <c r="Y52">
        <f t="shared" si="32"/>
        <v>0</v>
      </c>
      <c r="AA52">
        <v>-1</v>
      </c>
      <c r="AB52">
        <f t="shared" si="33"/>
        <v>108.45</v>
      </c>
      <c r="AC52">
        <f t="shared" si="34"/>
        <v>108.45</v>
      </c>
      <c r="AD52">
        <f>ROUND((((ET52)-(EU52))+AE52),6)</f>
        <v>0</v>
      </c>
      <c r="AE52">
        <f t="shared" si="59"/>
        <v>0</v>
      </c>
      <c r="AF52">
        <f t="shared" si="59"/>
        <v>0</v>
      </c>
      <c r="AG52">
        <f t="shared" si="35"/>
        <v>0</v>
      </c>
      <c r="AH52">
        <f t="shared" si="60"/>
        <v>0</v>
      </c>
      <c r="AI52">
        <f t="shared" si="60"/>
        <v>0</v>
      </c>
      <c r="AJ52">
        <f t="shared" si="36"/>
        <v>0</v>
      </c>
      <c r="AK52">
        <v>108.45</v>
      </c>
      <c r="AL52">
        <v>108.45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6.81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1</v>
      </c>
      <c r="BJ52" t="s">
        <v>130</v>
      </c>
      <c r="BM52">
        <v>1661</v>
      </c>
      <c r="BN52">
        <v>36862081</v>
      </c>
      <c r="BO52" t="s">
        <v>127</v>
      </c>
      <c r="BP52">
        <v>1</v>
      </c>
      <c r="BQ52">
        <v>30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0</v>
      </c>
      <c r="CA52">
        <v>0</v>
      </c>
      <c r="CB52" t="s">
        <v>3</v>
      </c>
      <c r="CE52">
        <v>30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37"/>
        <v>2811.64</v>
      </c>
      <c r="CQ52">
        <f t="shared" si="38"/>
        <v>738.54</v>
      </c>
      <c r="CR52">
        <f>(ROUND((ROUND(((ET52)*AV52*1),2)*BB52),2)+ROUND((ROUND(((AE52-(EU52))*AV52*1),2)*BS52),2))</f>
        <v>0</v>
      </c>
      <c r="CS52">
        <f t="shared" si="39"/>
        <v>0</v>
      </c>
      <c r="CT52">
        <f t="shared" si="40"/>
        <v>0</v>
      </c>
      <c r="CU52">
        <f t="shared" si="41"/>
        <v>0</v>
      </c>
      <c r="CV52">
        <f t="shared" si="42"/>
        <v>0</v>
      </c>
      <c r="CW52">
        <f t="shared" si="43"/>
        <v>0</v>
      </c>
      <c r="CX52">
        <f t="shared" si="44"/>
        <v>0</v>
      </c>
      <c r="CY52">
        <f t="shared" si="45"/>
        <v>0</v>
      </c>
      <c r="CZ52">
        <f t="shared" si="46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91</v>
      </c>
      <c r="DO52">
        <v>70</v>
      </c>
      <c r="DP52">
        <v>1</v>
      </c>
      <c r="DQ52">
        <v>1</v>
      </c>
      <c r="DU52">
        <v>1010</v>
      </c>
      <c r="DV52" t="s">
        <v>129</v>
      </c>
      <c r="DW52" t="s">
        <v>129</v>
      </c>
      <c r="DX52">
        <v>100</v>
      </c>
      <c r="DZ52" t="s">
        <v>3</v>
      </c>
      <c r="EA52" t="s">
        <v>3</v>
      </c>
      <c r="EB52" t="s">
        <v>3</v>
      </c>
      <c r="EC52" t="s">
        <v>3</v>
      </c>
      <c r="EE52">
        <v>53214410</v>
      </c>
      <c r="EF52">
        <v>30</v>
      </c>
      <c r="EG52" t="s">
        <v>37</v>
      </c>
      <c r="EH52">
        <v>0</v>
      </c>
      <c r="EI52" t="s">
        <v>3</v>
      </c>
      <c r="EJ52">
        <v>1</v>
      </c>
      <c r="EK52">
        <v>1661</v>
      </c>
      <c r="EL52" t="s">
        <v>38</v>
      </c>
      <c r="EM52" t="s">
        <v>39</v>
      </c>
      <c r="EO52" t="s">
        <v>3</v>
      </c>
      <c r="EQ52">
        <v>1024</v>
      </c>
      <c r="ER52">
        <v>108.45</v>
      </c>
      <c r="ES52">
        <v>108.45</v>
      </c>
      <c r="ET52">
        <v>0</v>
      </c>
      <c r="EU52">
        <v>0</v>
      </c>
      <c r="EV52">
        <v>0</v>
      </c>
      <c r="EW52">
        <v>0</v>
      </c>
      <c r="EX52">
        <v>0</v>
      </c>
      <c r="FQ52">
        <v>0</v>
      </c>
      <c r="FR52">
        <f t="shared" si="47"/>
        <v>0</v>
      </c>
      <c r="FS52">
        <v>0</v>
      </c>
      <c r="FX52">
        <v>91</v>
      </c>
      <c r="FY52">
        <v>70</v>
      </c>
      <c r="GA52" t="s">
        <v>3</v>
      </c>
      <c r="GD52">
        <v>0</v>
      </c>
      <c r="GF52">
        <v>1420060899</v>
      </c>
      <c r="GG52">
        <v>2</v>
      </c>
      <c r="GH52">
        <v>1</v>
      </c>
      <c r="GI52">
        <v>2</v>
      </c>
      <c r="GJ52">
        <v>0</v>
      </c>
      <c r="GK52">
        <f>ROUND(R52*(R12)/100,2)</f>
        <v>0</v>
      </c>
      <c r="GL52">
        <f t="shared" si="48"/>
        <v>0</v>
      </c>
      <c r="GM52">
        <f t="shared" si="58"/>
        <v>2811.64</v>
      </c>
      <c r="GN52">
        <f t="shared" si="50"/>
        <v>2811.64</v>
      </c>
      <c r="GO52">
        <f t="shared" si="51"/>
        <v>0</v>
      </c>
      <c r="GP52">
        <f t="shared" si="52"/>
        <v>0</v>
      </c>
      <c r="GR52">
        <v>0</v>
      </c>
      <c r="GS52">
        <v>3</v>
      </c>
      <c r="GT52">
        <v>0</v>
      </c>
      <c r="GU52" t="s">
        <v>3</v>
      </c>
      <c r="GV52">
        <f t="shared" si="53"/>
        <v>0</v>
      </c>
      <c r="GW52">
        <v>1</v>
      </c>
      <c r="GX52">
        <f t="shared" si="54"/>
        <v>0</v>
      </c>
      <c r="HA52">
        <v>0</v>
      </c>
      <c r="HB52">
        <v>0</v>
      </c>
      <c r="HC52">
        <f t="shared" si="55"/>
        <v>0</v>
      </c>
      <c r="HE52" t="s">
        <v>3</v>
      </c>
      <c r="HF52" t="s">
        <v>3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IK52">
        <v>0</v>
      </c>
    </row>
    <row r="53" spans="1:245" x14ac:dyDescent="0.2">
      <c r="A53">
        <v>18</v>
      </c>
      <c r="B53">
        <v>1</v>
      </c>
      <c r="C53">
        <v>54</v>
      </c>
      <c r="E53" t="s">
        <v>3</v>
      </c>
      <c r="F53" t="s">
        <v>131</v>
      </c>
      <c r="G53" t="s">
        <v>132</v>
      </c>
      <c r="H53" t="s">
        <v>100</v>
      </c>
      <c r="I53">
        <f>I50*J53</f>
        <v>521.70000000000005</v>
      </c>
      <c r="J53">
        <v>111</v>
      </c>
      <c r="K53">
        <v>111</v>
      </c>
      <c r="O53">
        <f t="shared" si="23"/>
        <v>98801.31</v>
      </c>
      <c r="P53">
        <f t="shared" si="24"/>
        <v>98801.31</v>
      </c>
      <c r="Q53">
        <f>(ROUND((ROUND(((ET53)*AV53*I53),2)*BB53),2)+ROUND((ROUND(((AE53-(EU53))*AV53*I53),2)*BS53),2))</f>
        <v>0</v>
      </c>
      <c r="R53">
        <f t="shared" si="25"/>
        <v>0</v>
      </c>
      <c r="S53">
        <f t="shared" si="26"/>
        <v>0</v>
      </c>
      <c r="T53">
        <f t="shared" si="27"/>
        <v>0</v>
      </c>
      <c r="U53">
        <f t="shared" si="28"/>
        <v>0</v>
      </c>
      <c r="V53">
        <f t="shared" si="29"/>
        <v>0</v>
      </c>
      <c r="W53">
        <f t="shared" si="30"/>
        <v>0</v>
      </c>
      <c r="X53">
        <f t="shared" si="31"/>
        <v>0</v>
      </c>
      <c r="Y53">
        <f t="shared" si="32"/>
        <v>0</v>
      </c>
      <c r="AA53">
        <v>-1</v>
      </c>
      <c r="AB53">
        <f t="shared" si="33"/>
        <v>41.26</v>
      </c>
      <c r="AC53">
        <f t="shared" si="34"/>
        <v>41.26</v>
      </c>
      <c r="AD53">
        <f>ROUND((((ET53)-(EU53))+AE53),6)</f>
        <v>0</v>
      </c>
      <c r="AE53">
        <f t="shared" si="59"/>
        <v>0</v>
      </c>
      <c r="AF53">
        <f t="shared" si="59"/>
        <v>0</v>
      </c>
      <c r="AG53">
        <f t="shared" si="35"/>
        <v>0</v>
      </c>
      <c r="AH53">
        <f t="shared" si="60"/>
        <v>0</v>
      </c>
      <c r="AI53">
        <f t="shared" si="60"/>
        <v>0</v>
      </c>
      <c r="AJ53">
        <f t="shared" si="36"/>
        <v>0</v>
      </c>
      <c r="AK53">
        <v>41.26</v>
      </c>
      <c r="AL53">
        <v>41.26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4.59</v>
      </c>
      <c r="BD53" t="s">
        <v>3</v>
      </c>
      <c r="BE53" t="s">
        <v>3</v>
      </c>
      <c r="BF53" t="s">
        <v>3</v>
      </c>
      <c r="BG53" t="s">
        <v>3</v>
      </c>
      <c r="BH53">
        <v>3</v>
      </c>
      <c r="BI53">
        <v>1</v>
      </c>
      <c r="BJ53" t="s">
        <v>133</v>
      </c>
      <c r="BM53">
        <v>1661</v>
      </c>
      <c r="BN53">
        <v>36862081</v>
      </c>
      <c r="BO53" t="s">
        <v>131</v>
      </c>
      <c r="BP53">
        <v>1</v>
      </c>
      <c r="BQ53">
        <v>30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0</v>
      </c>
      <c r="CA53">
        <v>0</v>
      </c>
      <c r="CB53" t="s">
        <v>3</v>
      </c>
      <c r="CE53">
        <v>30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37"/>
        <v>98801.31</v>
      </c>
      <c r="CQ53">
        <f t="shared" si="38"/>
        <v>189.38</v>
      </c>
      <c r="CR53">
        <f>(ROUND((ROUND(((ET53)*AV53*1),2)*BB53),2)+ROUND((ROUND(((AE53-(EU53))*AV53*1),2)*BS53),2))</f>
        <v>0</v>
      </c>
      <c r="CS53">
        <f t="shared" si="39"/>
        <v>0</v>
      </c>
      <c r="CT53">
        <f t="shared" si="40"/>
        <v>0</v>
      </c>
      <c r="CU53">
        <f t="shared" si="41"/>
        <v>0</v>
      </c>
      <c r="CV53">
        <f t="shared" si="42"/>
        <v>0</v>
      </c>
      <c r="CW53">
        <f t="shared" si="43"/>
        <v>0</v>
      </c>
      <c r="CX53">
        <f t="shared" si="44"/>
        <v>0</v>
      </c>
      <c r="CY53">
        <f t="shared" si="45"/>
        <v>0</v>
      </c>
      <c r="CZ53">
        <f t="shared" si="46"/>
        <v>0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91</v>
      </c>
      <c r="DO53">
        <v>70</v>
      </c>
      <c r="DP53">
        <v>1</v>
      </c>
      <c r="DQ53">
        <v>1</v>
      </c>
      <c r="DU53">
        <v>1005</v>
      </c>
      <c r="DV53" t="s">
        <v>100</v>
      </c>
      <c r="DW53" t="s">
        <v>100</v>
      </c>
      <c r="DX53">
        <v>1</v>
      </c>
      <c r="DZ53" t="s">
        <v>3</v>
      </c>
      <c r="EA53" t="s">
        <v>3</v>
      </c>
      <c r="EB53" t="s">
        <v>3</v>
      </c>
      <c r="EC53" t="s">
        <v>3</v>
      </c>
      <c r="EE53">
        <v>53214410</v>
      </c>
      <c r="EF53">
        <v>30</v>
      </c>
      <c r="EG53" t="s">
        <v>37</v>
      </c>
      <c r="EH53">
        <v>0</v>
      </c>
      <c r="EI53" t="s">
        <v>3</v>
      </c>
      <c r="EJ53">
        <v>1</v>
      </c>
      <c r="EK53">
        <v>1661</v>
      </c>
      <c r="EL53" t="s">
        <v>38</v>
      </c>
      <c r="EM53" t="s">
        <v>39</v>
      </c>
      <c r="EO53" t="s">
        <v>3</v>
      </c>
      <c r="EQ53">
        <v>1024</v>
      </c>
      <c r="ER53">
        <v>41.26</v>
      </c>
      <c r="ES53">
        <v>41.26</v>
      </c>
      <c r="ET53">
        <v>0</v>
      </c>
      <c r="EU53">
        <v>0</v>
      </c>
      <c r="EV53">
        <v>0</v>
      </c>
      <c r="EW53">
        <v>0</v>
      </c>
      <c r="EX53">
        <v>0</v>
      </c>
      <c r="FQ53">
        <v>0</v>
      </c>
      <c r="FR53">
        <f t="shared" si="47"/>
        <v>0</v>
      </c>
      <c r="FS53">
        <v>0</v>
      </c>
      <c r="FX53">
        <v>91</v>
      </c>
      <c r="FY53">
        <v>70</v>
      </c>
      <c r="GA53" t="s">
        <v>3</v>
      </c>
      <c r="GD53">
        <v>0</v>
      </c>
      <c r="GF53">
        <v>-561185864</v>
      </c>
      <c r="GG53">
        <v>2</v>
      </c>
      <c r="GH53">
        <v>1</v>
      </c>
      <c r="GI53">
        <v>2</v>
      </c>
      <c r="GJ53">
        <v>0</v>
      </c>
      <c r="GK53">
        <f>ROUND(R53*(R12)/100,2)</f>
        <v>0</v>
      </c>
      <c r="GL53">
        <f t="shared" si="48"/>
        <v>0</v>
      </c>
      <c r="GM53">
        <f t="shared" si="58"/>
        <v>98801.31</v>
      </c>
      <c r="GN53">
        <f t="shared" si="50"/>
        <v>98801.31</v>
      </c>
      <c r="GO53">
        <f t="shared" si="51"/>
        <v>0</v>
      </c>
      <c r="GP53">
        <f t="shared" si="52"/>
        <v>0</v>
      </c>
      <c r="GR53">
        <v>0</v>
      </c>
      <c r="GS53">
        <v>3</v>
      </c>
      <c r="GT53">
        <v>0</v>
      </c>
      <c r="GU53" t="s">
        <v>3</v>
      </c>
      <c r="GV53">
        <f t="shared" si="53"/>
        <v>0</v>
      </c>
      <c r="GW53">
        <v>1</v>
      </c>
      <c r="GX53">
        <f t="shared" si="54"/>
        <v>0</v>
      </c>
      <c r="HA53">
        <v>0</v>
      </c>
      <c r="HB53">
        <v>0</v>
      </c>
      <c r="HC53">
        <f t="shared" si="55"/>
        <v>0</v>
      </c>
      <c r="HE53" t="s">
        <v>3</v>
      </c>
      <c r="HF53" t="s">
        <v>3</v>
      </c>
      <c r="HM53" t="s">
        <v>3</v>
      </c>
      <c r="HN53" t="s">
        <v>3</v>
      </c>
      <c r="HO53" t="s">
        <v>3</v>
      </c>
      <c r="HP53" t="s">
        <v>3</v>
      </c>
      <c r="HQ53" t="s">
        <v>3</v>
      </c>
      <c r="IK53">
        <v>0</v>
      </c>
    </row>
    <row r="54" spans="1:245" x14ac:dyDescent="0.2">
      <c r="A54">
        <v>17</v>
      </c>
      <c r="B54">
        <v>1</v>
      </c>
      <c r="C54">
        <f>ROW(SmtRes!A66)</f>
        <v>66</v>
      </c>
      <c r="D54">
        <f>ROW(EtalonRes!A94)</f>
        <v>94</v>
      </c>
      <c r="E54" t="s">
        <v>3</v>
      </c>
      <c r="F54" t="s">
        <v>134</v>
      </c>
      <c r="G54" t="s">
        <v>135</v>
      </c>
      <c r="H54" t="s">
        <v>136</v>
      </c>
      <c r="I54">
        <f>ROUND(470/100,9)</f>
        <v>4.7</v>
      </c>
      <c r="J54">
        <v>0</v>
      </c>
      <c r="K54">
        <f>ROUND(470/100,9)</f>
        <v>4.7</v>
      </c>
      <c r="O54">
        <f t="shared" si="23"/>
        <v>31383.93</v>
      </c>
      <c r="P54">
        <f t="shared" si="24"/>
        <v>350.24</v>
      </c>
      <c r="Q54">
        <f>(ROUND((ROUND((((ET54*1.25))*AV54*I54),2)*BB54),2)+ROUND((ROUND(((AE54-((EU54*1.25)))*AV54*I54),2)*BS54),2))</f>
        <v>236.27</v>
      </c>
      <c r="R54">
        <f t="shared" si="25"/>
        <v>88.49</v>
      </c>
      <c r="S54">
        <f t="shared" si="26"/>
        <v>30797.42</v>
      </c>
      <c r="T54">
        <f t="shared" si="27"/>
        <v>0</v>
      </c>
      <c r="U54">
        <f t="shared" si="28"/>
        <v>81.075000000000003</v>
      </c>
      <c r="V54">
        <f t="shared" si="29"/>
        <v>0</v>
      </c>
      <c r="W54">
        <f t="shared" si="30"/>
        <v>0</v>
      </c>
      <c r="X54">
        <f t="shared" si="31"/>
        <v>25561.86</v>
      </c>
      <c r="Y54">
        <f t="shared" si="32"/>
        <v>12626.94</v>
      </c>
      <c r="AA54">
        <v>-1</v>
      </c>
      <c r="AB54">
        <f t="shared" si="33"/>
        <v>267.84500000000003</v>
      </c>
      <c r="AC54">
        <f t="shared" si="34"/>
        <v>46</v>
      </c>
      <c r="AD54">
        <f>ROUND(((((ET54*1.25))-((EU54*1.25)))+AE54),6)</f>
        <v>4.1500000000000004</v>
      </c>
      <c r="AE54">
        <f>ROUND(((EU54*1.25)),6)</f>
        <v>0.625</v>
      </c>
      <c r="AF54">
        <f>ROUND(((EV54*1.15)),6)</f>
        <v>217.69499999999999</v>
      </c>
      <c r="AG54">
        <f t="shared" si="35"/>
        <v>0</v>
      </c>
      <c r="AH54">
        <f>((EW54*1.15))</f>
        <v>17.25</v>
      </c>
      <c r="AI54">
        <f>((EX54*1.25))</f>
        <v>0</v>
      </c>
      <c r="AJ54">
        <f t="shared" si="36"/>
        <v>0</v>
      </c>
      <c r="AK54">
        <v>238.62</v>
      </c>
      <c r="AL54">
        <v>46</v>
      </c>
      <c r="AM54">
        <v>3.32</v>
      </c>
      <c r="AN54">
        <v>0.5</v>
      </c>
      <c r="AO54">
        <v>189.3</v>
      </c>
      <c r="AP54">
        <v>0</v>
      </c>
      <c r="AQ54">
        <v>15</v>
      </c>
      <c r="AR54">
        <v>0</v>
      </c>
      <c r="AS54">
        <v>0</v>
      </c>
      <c r="AT54">
        <v>83</v>
      </c>
      <c r="AU54">
        <v>41</v>
      </c>
      <c r="AV54">
        <v>1</v>
      </c>
      <c r="AW54">
        <v>1</v>
      </c>
      <c r="AZ54">
        <v>1</v>
      </c>
      <c r="BA54">
        <v>30.1</v>
      </c>
      <c r="BB54">
        <v>12.11</v>
      </c>
      <c r="BC54">
        <v>1.62</v>
      </c>
      <c r="BD54" t="s">
        <v>3</v>
      </c>
      <c r="BE54" t="s">
        <v>3</v>
      </c>
      <c r="BF54" t="s">
        <v>3</v>
      </c>
      <c r="BG54" t="s">
        <v>3</v>
      </c>
      <c r="BH54">
        <v>0</v>
      </c>
      <c r="BI54">
        <v>1</v>
      </c>
      <c r="BJ54" t="s">
        <v>137</v>
      </c>
      <c r="BM54">
        <v>117</v>
      </c>
      <c r="BN54">
        <v>36862081</v>
      </c>
      <c r="BO54" t="s">
        <v>134</v>
      </c>
      <c r="BP54">
        <v>1</v>
      </c>
      <c r="BQ54">
        <v>30</v>
      </c>
      <c r="BR54">
        <v>0</v>
      </c>
      <c r="BS54">
        <v>30.1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83</v>
      </c>
      <c r="CA54">
        <v>41</v>
      </c>
      <c r="CB54" t="s">
        <v>3</v>
      </c>
      <c r="CE54">
        <v>30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37"/>
        <v>31383.929999999997</v>
      </c>
      <c r="CQ54">
        <f t="shared" si="38"/>
        <v>74.52</v>
      </c>
      <c r="CR54">
        <f>(ROUND((ROUND((((ET54*1.25))*AV54*1),2)*BB54),2)+ROUND((ROUND(((AE54-((EU54*1.25)))*AV54*1),2)*BS54),2))</f>
        <v>50.26</v>
      </c>
      <c r="CS54">
        <f t="shared" si="39"/>
        <v>18.96</v>
      </c>
      <c r="CT54">
        <f t="shared" si="40"/>
        <v>6552.77</v>
      </c>
      <c r="CU54">
        <f t="shared" si="41"/>
        <v>0</v>
      </c>
      <c r="CV54">
        <f t="shared" si="42"/>
        <v>17.25</v>
      </c>
      <c r="CW54">
        <f t="shared" si="43"/>
        <v>0</v>
      </c>
      <c r="CX54">
        <f t="shared" si="44"/>
        <v>0</v>
      </c>
      <c r="CY54">
        <f t="shared" si="45"/>
        <v>25561.858599999996</v>
      </c>
      <c r="CZ54">
        <f t="shared" si="46"/>
        <v>12626.942199999998</v>
      </c>
      <c r="DC54" t="s">
        <v>3</v>
      </c>
      <c r="DD54" t="s">
        <v>3</v>
      </c>
      <c r="DE54" t="s">
        <v>51</v>
      </c>
      <c r="DF54" t="s">
        <v>51</v>
      </c>
      <c r="DG54" t="s">
        <v>52</v>
      </c>
      <c r="DH54" t="s">
        <v>3</v>
      </c>
      <c r="DI54" t="s">
        <v>52</v>
      </c>
      <c r="DJ54" t="s">
        <v>51</v>
      </c>
      <c r="DK54" t="s">
        <v>3</v>
      </c>
      <c r="DL54" t="s">
        <v>3</v>
      </c>
      <c r="DM54" t="s">
        <v>3</v>
      </c>
      <c r="DN54">
        <v>100</v>
      </c>
      <c r="DO54">
        <v>64</v>
      </c>
      <c r="DP54">
        <v>1</v>
      </c>
      <c r="DQ54">
        <v>1</v>
      </c>
      <c r="DU54">
        <v>1005</v>
      </c>
      <c r="DV54" t="s">
        <v>136</v>
      </c>
      <c r="DW54" t="s">
        <v>136</v>
      </c>
      <c r="DX54">
        <v>100</v>
      </c>
      <c r="DZ54" t="s">
        <v>3</v>
      </c>
      <c r="EA54" t="s">
        <v>3</v>
      </c>
      <c r="EB54" t="s">
        <v>3</v>
      </c>
      <c r="EC54" t="s">
        <v>3</v>
      </c>
      <c r="EE54">
        <v>53212866</v>
      </c>
      <c r="EF54">
        <v>30</v>
      </c>
      <c r="EG54" t="s">
        <v>37</v>
      </c>
      <c r="EH54">
        <v>0</v>
      </c>
      <c r="EI54" t="s">
        <v>3</v>
      </c>
      <c r="EJ54">
        <v>1</v>
      </c>
      <c r="EK54">
        <v>117</v>
      </c>
      <c r="EL54" t="s">
        <v>138</v>
      </c>
      <c r="EM54" t="s">
        <v>139</v>
      </c>
      <c r="EO54" t="s">
        <v>3</v>
      </c>
      <c r="EQ54">
        <v>1024</v>
      </c>
      <c r="ER54">
        <v>238.62</v>
      </c>
      <c r="ES54">
        <v>46</v>
      </c>
      <c r="ET54">
        <v>3.32</v>
      </c>
      <c r="EU54">
        <v>0.5</v>
      </c>
      <c r="EV54">
        <v>189.3</v>
      </c>
      <c r="EW54">
        <v>15</v>
      </c>
      <c r="EX54">
        <v>0</v>
      </c>
      <c r="EY54">
        <v>0</v>
      </c>
      <c r="FQ54">
        <v>0</v>
      </c>
      <c r="FR54">
        <f t="shared" si="47"/>
        <v>0</v>
      </c>
      <c r="FS54">
        <v>0</v>
      </c>
      <c r="FX54">
        <v>100</v>
      </c>
      <c r="FY54">
        <v>64</v>
      </c>
      <c r="GA54" t="s">
        <v>3</v>
      </c>
      <c r="GD54">
        <v>0</v>
      </c>
      <c r="GF54">
        <v>-281924791</v>
      </c>
      <c r="GG54">
        <v>2</v>
      </c>
      <c r="GH54">
        <v>1</v>
      </c>
      <c r="GI54">
        <v>2</v>
      </c>
      <c r="GJ54">
        <v>0</v>
      </c>
      <c r="GK54">
        <f>ROUND(R54*(R12)/100,2)</f>
        <v>141.58000000000001</v>
      </c>
      <c r="GL54">
        <f t="shared" si="48"/>
        <v>0</v>
      </c>
      <c r="GM54">
        <f t="shared" si="58"/>
        <v>69714.31</v>
      </c>
      <c r="GN54">
        <f t="shared" si="50"/>
        <v>69714.31</v>
      </c>
      <c r="GO54">
        <f t="shared" si="51"/>
        <v>0</v>
      </c>
      <c r="GP54">
        <f t="shared" si="52"/>
        <v>0</v>
      </c>
      <c r="GR54">
        <v>0</v>
      </c>
      <c r="GS54">
        <v>3</v>
      </c>
      <c r="GT54">
        <v>0</v>
      </c>
      <c r="GU54" t="s">
        <v>3</v>
      </c>
      <c r="GV54">
        <f t="shared" si="53"/>
        <v>0</v>
      </c>
      <c r="GW54">
        <v>1</v>
      </c>
      <c r="GX54">
        <f t="shared" si="54"/>
        <v>0</v>
      </c>
      <c r="HA54">
        <v>0</v>
      </c>
      <c r="HB54">
        <v>0</v>
      </c>
      <c r="HC54">
        <f t="shared" si="55"/>
        <v>0</v>
      </c>
      <c r="HE54" t="s">
        <v>3</v>
      </c>
      <c r="HF54" t="s">
        <v>3</v>
      </c>
      <c r="HM54" t="s">
        <v>3</v>
      </c>
      <c r="HN54" t="s">
        <v>3</v>
      </c>
      <c r="HO54" t="s">
        <v>3</v>
      </c>
      <c r="HP54" t="s">
        <v>3</v>
      </c>
      <c r="HQ54" t="s">
        <v>3</v>
      </c>
      <c r="IK54">
        <v>0</v>
      </c>
    </row>
    <row r="55" spans="1:245" x14ac:dyDescent="0.2">
      <c r="A55">
        <v>18</v>
      </c>
      <c r="B55">
        <v>1</v>
      </c>
      <c r="C55">
        <v>65</v>
      </c>
      <c r="E55" t="s">
        <v>3</v>
      </c>
      <c r="F55" t="s">
        <v>140</v>
      </c>
      <c r="G55" t="s">
        <v>141</v>
      </c>
      <c r="H55" t="s">
        <v>75</v>
      </c>
      <c r="I55">
        <f>I54*J55</f>
        <v>0.15040000000000001</v>
      </c>
      <c r="J55">
        <v>3.2000000000000001E-2</v>
      </c>
      <c r="K55">
        <v>3.2000000000000001E-2</v>
      </c>
      <c r="O55">
        <f t="shared" si="23"/>
        <v>2855.02</v>
      </c>
      <c r="P55">
        <f t="shared" si="24"/>
        <v>2855.02</v>
      </c>
      <c r="Q55">
        <f>(ROUND((ROUND(((ET55)*AV55*I55),2)*BB55),2)+ROUND((ROUND(((AE55-(EU55))*AV55*I55),2)*BS55),2))</f>
        <v>0</v>
      </c>
      <c r="R55">
        <f t="shared" si="25"/>
        <v>0</v>
      </c>
      <c r="S55">
        <f t="shared" si="26"/>
        <v>0</v>
      </c>
      <c r="T55">
        <f t="shared" si="27"/>
        <v>0</v>
      </c>
      <c r="U55">
        <f t="shared" si="28"/>
        <v>0</v>
      </c>
      <c r="V55">
        <f t="shared" si="29"/>
        <v>0</v>
      </c>
      <c r="W55">
        <f t="shared" si="30"/>
        <v>0</v>
      </c>
      <c r="X55">
        <f t="shared" si="31"/>
        <v>0</v>
      </c>
      <c r="Y55">
        <f t="shared" si="32"/>
        <v>0</v>
      </c>
      <c r="AA55">
        <v>-1</v>
      </c>
      <c r="AB55">
        <f t="shared" si="33"/>
        <v>2278.84</v>
      </c>
      <c r="AC55">
        <f t="shared" si="34"/>
        <v>2278.84</v>
      </c>
      <c r="AD55">
        <f>ROUND((((ET55)-(EU55))+AE55),6)</f>
        <v>0</v>
      </c>
      <c r="AE55">
        <f>ROUND((EU55),6)</f>
        <v>0</v>
      </c>
      <c r="AF55">
        <f>ROUND((EV55),6)</f>
        <v>0</v>
      </c>
      <c r="AG55">
        <f t="shared" si="35"/>
        <v>0</v>
      </c>
      <c r="AH55">
        <f>(EW55)</f>
        <v>0</v>
      </c>
      <c r="AI55">
        <f>(EX55)</f>
        <v>0</v>
      </c>
      <c r="AJ55">
        <f t="shared" si="36"/>
        <v>0</v>
      </c>
      <c r="AK55">
        <v>2278.84</v>
      </c>
      <c r="AL55">
        <v>2278.84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8.33</v>
      </c>
      <c r="BD55" t="s">
        <v>3</v>
      </c>
      <c r="BE55" t="s">
        <v>3</v>
      </c>
      <c r="BF55" t="s">
        <v>3</v>
      </c>
      <c r="BG55" t="s">
        <v>3</v>
      </c>
      <c r="BH55">
        <v>3</v>
      </c>
      <c r="BI55">
        <v>1</v>
      </c>
      <c r="BJ55" t="s">
        <v>142</v>
      </c>
      <c r="BM55">
        <v>117</v>
      </c>
      <c r="BN55">
        <v>36862081</v>
      </c>
      <c r="BO55" t="s">
        <v>140</v>
      </c>
      <c r="BP55">
        <v>1</v>
      </c>
      <c r="BQ55">
        <v>30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0</v>
      </c>
      <c r="CA55">
        <v>0</v>
      </c>
      <c r="CB55" t="s">
        <v>3</v>
      </c>
      <c r="CE55">
        <v>30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 t="shared" si="37"/>
        <v>2855.02</v>
      </c>
      <c r="CQ55">
        <f t="shared" si="38"/>
        <v>18982.740000000002</v>
      </c>
      <c r="CR55">
        <f>(ROUND((ROUND(((ET55)*AV55*1),2)*BB55),2)+ROUND((ROUND(((AE55-(EU55))*AV55*1),2)*BS55),2))</f>
        <v>0</v>
      </c>
      <c r="CS55">
        <f t="shared" si="39"/>
        <v>0</v>
      </c>
      <c r="CT55">
        <f t="shared" si="40"/>
        <v>0</v>
      </c>
      <c r="CU55">
        <f t="shared" si="41"/>
        <v>0</v>
      </c>
      <c r="CV55">
        <f t="shared" si="42"/>
        <v>0</v>
      </c>
      <c r="CW55">
        <f t="shared" si="43"/>
        <v>0</v>
      </c>
      <c r="CX55">
        <f t="shared" si="44"/>
        <v>0</v>
      </c>
      <c r="CY55">
        <f t="shared" si="45"/>
        <v>0</v>
      </c>
      <c r="CZ55">
        <f t="shared" si="46"/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100</v>
      </c>
      <c r="DO55">
        <v>64</v>
      </c>
      <c r="DP55">
        <v>1</v>
      </c>
      <c r="DQ55">
        <v>1</v>
      </c>
      <c r="DU55">
        <v>1009</v>
      </c>
      <c r="DV55" t="s">
        <v>75</v>
      </c>
      <c r="DW55" t="s">
        <v>75</v>
      </c>
      <c r="DX55">
        <v>1000</v>
      </c>
      <c r="DZ55" t="s">
        <v>3</v>
      </c>
      <c r="EA55" t="s">
        <v>3</v>
      </c>
      <c r="EB55" t="s">
        <v>3</v>
      </c>
      <c r="EC55" t="s">
        <v>3</v>
      </c>
      <c r="EE55">
        <v>53212866</v>
      </c>
      <c r="EF55">
        <v>30</v>
      </c>
      <c r="EG55" t="s">
        <v>37</v>
      </c>
      <c r="EH55">
        <v>0</v>
      </c>
      <c r="EI55" t="s">
        <v>3</v>
      </c>
      <c r="EJ55">
        <v>1</v>
      </c>
      <c r="EK55">
        <v>117</v>
      </c>
      <c r="EL55" t="s">
        <v>138</v>
      </c>
      <c r="EM55" t="s">
        <v>139</v>
      </c>
      <c r="EO55" t="s">
        <v>3</v>
      </c>
      <c r="EQ55">
        <v>1024</v>
      </c>
      <c r="ER55">
        <v>2278.84</v>
      </c>
      <c r="ES55">
        <v>2278.84</v>
      </c>
      <c r="ET55">
        <v>0</v>
      </c>
      <c r="EU55">
        <v>0</v>
      </c>
      <c r="EV55">
        <v>0</v>
      </c>
      <c r="EW55">
        <v>0</v>
      </c>
      <c r="EX55">
        <v>0</v>
      </c>
      <c r="FQ55">
        <v>0</v>
      </c>
      <c r="FR55">
        <f t="shared" si="47"/>
        <v>0</v>
      </c>
      <c r="FS55">
        <v>0</v>
      </c>
      <c r="FX55">
        <v>100</v>
      </c>
      <c r="FY55">
        <v>64</v>
      </c>
      <c r="GA55" t="s">
        <v>3</v>
      </c>
      <c r="GD55">
        <v>0</v>
      </c>
      <c r="GF55">
        <v>1793685401</v>
      </c>
      <c r="GG55">
        <v>2</v>
      </c>
      <c r="GH55">
        <v>1</v>
      </c>
      <c r="GI55">
        <v>2</v>
      </c>
      <c r="GJ55">
        <v>0</v>
      </c>
      <c r="GK55">
        <f>ROUND(R55*(R12)/100,2)</f>
        <v>0</v>
      </c>
      <c r="GL55">
        <f t="shared" si="48"/>
        <v>0</v>
      </c>
      <c r="GM55">
        <f t="shared" si="58"/>
        <v>2855.02</v>
      </c>
      <c r="GN55">
        <f t="shared" si="50"/>
        <v>2855.02</v>
      </c>
      <c r="GO55">
        <f t="shared" si="51"/>
        <v>0</v>
      </c>
      <c r="GP55">
        <f t="shared" si="52"/>
        <v>0</v>
      </c>
      <c r="GR55">
        <v>0</v>
      </c>
      <c r="GS55">
        <v>3</v>
      </c>
      <c r="GT55">
        <v>0</v>
      </c>
      <c r="GU55" t="s">
        <v>3</v>
      </c>
      <c r="GV55">
        <f t="shared" si="53"/>
        <v>0</v>
      </c>
      <c r="GW55">
        <v>1</v>
      </c>
      <c r="GX55">
        <f t="shared" si="54"/>
        <v>0</v>
      </c>
      <c r="HA55">
        <v>0</v>
      </c>
      <c r="HB55">
        <v>0</v>
      </c>
      <c r="HC55">
        <f t="shared" si="55"/>
        <v>0</v>
      </c>
      <c r="HE55" t="s">
        <v>3</v>
      </c>
      <c r="HF55" t="s">
        <v>3</v>
      </c>
      <c r="HM55" t="s">
        <v>3</v>
      </c>
      <c r="HN55" t="s">
        <v>3</v>
      </c>
      <c r="HO55" t="s">
        <v>3</v>
      </c>
      <c r="HP55" t="s">
        <v>3</v>
      </c>
      <c r="HQ55" t="s">
        <v>3</v>
      </c>
      <c r="IK55">
        <v>0</v>
      </c>
    </row>
    <row r="56" spans="1:245" x14ac:dyDescent="0.2">
      <c r="A56">
        <v>17</v>
      </c>
      <c r="B56">
        <v>1</v>
      </c>
      <c r="C56">
        <f>ROW(SmtRes!A73)</f>
        <v>73</v>
      </c>
      <c r="D56">
        <f>ROW(EtalonRes!A101)</f>
        <v>101</v>
      </c>
      <c r="E56" t="s">
        <v>3</v>
      </c>
      <c r="F56" t="s">
        <v>143</v>
      </c>
      <c r="G56" t="s">
        <v>144</v>
      </c>
      <c r="H56" t="s">
        <v>28</v>
      </c>
      <c r="I56">
        <f>ROUND(470/100,9)</f>
        <v>4.7</v>
      </c>
      <c r="J56">
        <v>0</v>
      </c>
      <c r="K56">
        <f>ROUND(470/100,9)</f>
        <v>4.7</v>
      </c>
      <c r="O56">
        <f t="shared" si="23"/>
        <v>77924.320000000007</v>
      </c>
      <c r="P56">
        <f t="shared" si="24"/>
        <v>1818.01</v>
      </c>
      <c r="Q56">
        <f>(ROUND((ROUND((((ET56*1.25))*AV56*I56),2)*BB56),2)+ROUND((ROUND(((AE56-((EU56*1.25)))*AV56*I56),2)*BS56),2))</f>
        <v>590.23</v>
      </c>
      <c r="R56">
        <f t="shared" si="25"/>
        <v>222.74</v>
      </c>
      <c r="S56">
        <f t="shared" si="26"/>
        <v>75516.08</v>
      </c>
      <c r="T56">
        <f t="shared" si="27"/>
        <v>0</v>
      </c>
      <c r="U56">
        <f t="shared" si="28"/>
        <v>216.09189999999995</v>
      </c>
      <c r="V56">
        <f t="shared" si="29"/>
        <v>0</v>
      </c>
      <c r="W56">
        <f t="shared" si="30"/>
        <v>0</v>
      </c>
      <c r="X56">
        <f t="shared" si="31"/>
        <v>62678.35</v>
      </c>
      <c r="Y56">
        <f t="shared" si="32"/>
        <v>30961.59</v>
      </c>
      <c r="AA56">
        <v>-1</v>
      </c>
      <c r="AB56">
        <f t="shared" si="33"/>
        <v>708.78300000000002</v>
      </c>
      <c r="AC56">
        <f t="shared" si="34"/>
        <v>164.6</v>
      </c>
      <c r="AD56">
        <f>ROUND(((((ET56*1.25))-((EU56*1.25)))+AE56),6)</f>
        <v>10.387499999999999</v>
      </c>
      <c r="AE56">
        <f>ROUND(((EU56*1.25)),6)</f>
        <v>1.575</v>
      </c>
      <c r="AF56">
        <f>ROUND(((EV56*1.15)),6)</f>
        <v>533.79549999999995</v>
      </c>
      <c r="AG56">
        <f t="shared" si="35"/>
        <v>0</v>
      </c>
      <c r="AH56">
        <f>((EW56*1.15))</f>
        <v>45.97699999999999</v>
      </c>
      <c r="AI56">
        <f>((EX56*1.25))</f>
        <v>0</v>
      </c>
      <c r="AJ56">
        <f t="shared" si="36"/>
        <v>0</v>
      </c>
      <c r="AK56">
        <v>637.08000000000004</v>
      </c>
      <c r="AL56">
        <v>164.6</v>
      </c>
      <c r="AM56">
        <v>8.31</v>
      </c>
      <c r="AN56">
        <v>1.26</v>
      </c>
      <c r="AO56">
        <v>464.17</v>
      </c>
      <c r="AP56">
        <v>0</v>
      </c>
      <c r="AQ56">
        <v>39.979999999999997</v>
      </c>
      <c r="AR56">
        <v>0</v>
      </c>
      <c r="AS56">
        <v>0</v>
      </c>
      <c r="AT56">
        <v>83</v>
      </c>
      <c r="AU56">
        <v>41</v>
      </c>
      <c r="AV56">
        <v>1</v>
      </c>
      <c r="AW56">
        <v>1</v>
      </c>
      <c r="AZ56">
        <v>1</v>
      </c>
      <c r="BA56">
        <v>30.1</v>
      </c>
      <c r="BB56">
        <v>12.09</v>
      </c>
      <c r="BC56">
        <v>2.35</v>
      </c>
      <c r="BD56" t="s">
        <v>3</v>
      </c>
      <c r="BE56" t="s">
        <v>3</v>
      </c>
      <c r="BF56" t="s">
        <v>3</v>
      </c>
      <c r="BG56" t="s">
        <v>3</v>
      </c>
      <c r="BH56">
        <v>0</v>
      </c>
      <c r="BI56">
        <v>1</v>
      </c>
      <c r="BJ56" t="s">
        <v>145</v>
      </c>
      <c r="BM56">
        <v>2087</v>
      </c>
      <c r="BN56">
        <v>36862081</v>
      </c>
      <c r="BO56" t="s">
        <v>143</v>
      </c>
      <c r="BP56">
        <v>1</v>
      </c>
      <c r="BQ56">
        <v>30</v>
      </c>
      <c r="BR56">
        <v>0</v>
      </c>
      <c r="BS56">
        <v>30.1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83</v>
      </c>
      <c r="CA56">
        <v>41</v>
      </c>
      <c r="CB56" t="s">
        <v>3</v>
      </c>
      <c r="CE56">
        <v>30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37"/>
        <v>77924.320000000007</v>
      </c>
      <c r="CQ56">
        <f t="shared" si="38"/>
        <v>386.81</v>
      </c>
      <c r="CR56">
        <f>(ROUND((ROUND((((ET56*1.25))*AV56*1),2)*BB56),2)+ROUND((ROUND(((AE56-((EU56*1.25)))*AV56*1),2)*BS56),2))</f>
        <v>125.62</v>
      </c>
      <c r="CS56">
        <f t="shared" si="39"/>
        <v>47.56</v>
      </c>
      <c r="CT56">
        <f t="shared" si="40"/>
        <v>16067.38</v>
      </c>
      <c r="CU56">
        <f t="shared" si="41"/>
        <v>0</v>
      </c>
      <c r="CV56">
        <f t="shared" si="42"/>
        <v>45.97699999999999</v>
      </c>
      <c r="CW56">
        <f t="shared" si="43"/>
        <v>0</v>
      </c>
      <c r="CX56">
        <f t="shared" si="44"/>
        <v>0</v>
      </c>
      <c r="CY56">
        <f t="shared" si="45"/>
        <v>62678.346399999995</v>
      </c>
      <c r="CZ56">
        <f t="shared" si="46"/>
        <v>30961.592799999999</v>
      </c>
      <c r="DC56" t="s">
        <v>3</v>
      </c>
      <c r="DD56" t="s">
        <v>3</v>
      </c>
      <c r="DE56" t="s">
        <v>51</v>
      </c>
      <c r="DF56" t="s">
        <v>51</v>
      </c>
      <c r="DG56" t="s">
        <v>52</v>
      </c>
      <c r="DH56" t="s">
        <v>3</v>
      </c>
      <c r="DI56" t="s">
        <v>52</v>
      </c>
      <c r="DJ56" t="s">
        <v>51</v>
      </c>
      <c r="DK56" t="s">
        <v>3</v>
      </c>
      <c r="DL56" t="s">
        <v>3</v>
      </c>
      <c r="DM56" t="s">
        <v>3</v>
      </c>
      <c r="DN56">
        <v>100</v>
      </c>
      <c r="DO56">
        <v>64</v>
      </c>
      <c r="DP56">
        <v>1</v>
      </c>
      <c r="DQ56">
        <v>1</v>
      </c>
      <c r="DU56">
        <v>1005</v>
      </c>
      <c r="DV56" t="s">
        <v>28</v>
      </c>
      <c r="DW56" t="s">
        <v>28</v>
      </c>
      <c r="DX56">
        <v>100</v>
      </c>
      <c r="DZ56" t="s">
        <v>3</v>
      </c>
      <c r="EA56" t="s">
        <v>3</v>
      </c>
      <c r="EB56" t="s">
        <v>3</v>
      </c>
      <c r="EC56" t="s">
        <v>3</v>
      </c>
      <c r="EE56">
        <v>53214868</v>
      </c>
      <c r="EF56">
        <v>30</v>
      </c>
      <c r="EG56" t="s">
        <v>37</v>
      </c>
      <c r="EH56">
        <v>0</v>
      </c>
      <c r="EI56" t="s">
        <v>3</v>
      </c>
      <c r="EJ56">
        <v>1</v>
      </c>
      <c r="EK56">
        <v>2087</v>
      </c>
      <c r="EL56" t="s">
        <v>146</v>
      </c>
      <c r="EM56" t="s">
        <v>147</v>
      </c>
      <c r="EO56" t="s">
        <v>3</v>
      </c>
      <c r="EQ56">
        <v>1024</v>
      </c>
      <c r="ER56">
        <v>637.08000000000004</v>
      </c>
      <c r="ES56">
        <v>164.6</v>
      </c>
      <c r="ET56">
        <v>8.31</v>
      </c>
      <c r="EU56">
        <v>1.26</v>
      </c>
      <c r="EV56">
        <v>464.17</v>
      </c>
      <c r="EW56">
        <v>39.979999999999997</v>
      </c>
      <c r="EX56">
        <v>0</v>
      </c>
      <c r="EY56">
        <v>0</v>
      </c>
      <c r="FQ56">
        <v>0</v>
      </c>
      <c r="FR56">
        <f t="shared" si="47"/>
        <v>0</v>
      </c>
      <c r="FS56">
        <v>0</v>
      </c>
      <c r="FX56">
        <v>100</v>
      </c>
      <c r="FY56">
        <v>64</v>
      </c>
      <c r="GA56" t="s">
        <v>3</v>
      </c>
      <c r="GD56">
        <v>0</v>
      </c>
      <c r="GF56">
        <v>-1981675178</v>
      </c>
      <c r="GG56">
        <v>2</v>
      </c>
      <c r="GH56">
        <v>1</v>
      </c>
      <c r="GI56">
        <v>2</v>
      </c>
      <c r="GJ56">
        <v>0</v>
      </c>
      <c r="GK56">
        <f>ROUND(R56*(R12)/100,2)</f>
        <v>356.38</v>
      </c>
      <c r="GL56">
        <f t="shared" si="48"/>
        <v>0</v>
      </c>
      <c r="GM56">
        <f t="shared" si="58"/>
        <v>171920.64000000001</v>
      </c>
      <c r="GN56">
        <f t="shared" si="50"/>
        <v>171920.64000000001</v>
      </c>
      <c r="GO56">
        <f t="shared" si="51"/>
        <v>0</v>
      </c>
      <c r="GP56">
        <f t="shared" si="52"/>
        <v>0</v>
      </c>
      <c r="GR56">
        <v>0</v>
      </c>
      <c r="GS56">
        <v>3</v>
      </c>
      <c r="GT56">
        <v>0</v>
      </c>
      <c r="GU56" t="s">
        <v>3</v>
      </c>
      <c r="GV56">
        <f t="shared" si="53"/>
        <v>0</v>
      </c>
      <c r="GW56">
        <v>1</v>
      </c>
      <c r="GX56">
        <f t="shared" si="54"/>
        <v>0</v>
      </c>
      <c r="HA56">
        <v>0</v>
      </c>
      <c r="HB56">
        <v>0</v>
      </c>
      <c r="HC56">
        <f t="shared" si="55"/>
        <v>0</v>
      </c>
      <c r="HE56" t="s">
        <v>3</v>
      </c>
      <c r="HF56" t="s">
        <v>3</v>
      </c>
      <c r="HM56" t="s">
        <v>3</v>
      </c>
      <c r="HN56" t="s">
        <v>3</v>
      </c>
      <c r="HO56" t="s">
        <v>3</v>
      </c>
      <c r="HP56" t="s">
        <v>3</v>
      </c>
      <c r="HQ56" t="s">
        <v>3</v>
      </c>
      <c r="IK56">
        <v>0</v>
      </c>
    </row>
    <row r="57" spans="1:245" x14ac:dyDescent="0.2">
      <c r="A57">
        <v>18</v>
      </c>
      <c r="B57">
        <v>1</v>
      </c>
      <c r="C57">
        <v>72</v>
      </c>
      <c r="E57" t="s">
        <v>3</v>
      </c>
      <c r="F57" t="s">
        <v>56</v>
      </c>
      <c r="G57" t="s">
        <v>57</v>
      </c>
      <c r="H57" t="s">
        <v>58</v>
      </c>
      <c r="I57">
        <f>I56*J57</f>
        <v>103.4</v>
      </c>
      <c r="J57">
        <v>22</v>
      </c>
      <c r="K57">
        <v>22</v>
      </c>
      <c r="O57">
        <f t="shared" si="23"/>
        <v>10727.58</v>
      </c>
      <c r="P57">
        <f t="shared" si="24"/>
        <v>10727.58</v>
      </c>
      <c r="Q57">
        <f>(ROUND((ROUND(((ET57)*AV57*I57),2)*BB57),2)+ROUND((ROUND(((AE57-(EU57))*AV57*I57),2)*BS57),2))</f>
        <v>0</v>
      </c>
      <c r="R57">
        <f t="shared" si="25"/>
        <v>0</v>
      </c>
      <c r="S57">
        <f t="shared" si="26"/>
        <v>0</v>
      </c>
      <c r="T57">
        <f t="shared" si="27"/>
        <v>0</v>
      </c>
      <c r="U57">
        <f t="shared" si="28"/>
        <v>0</v>
      </c>
      <c r="V57">
        <f t="shared" si="29"/>
        <v>0</v>
      </c>
      <c r="W57">
        <f t="shared" si="30"/>
        <v>0</v>
      </c>
      <c r="X57">
        <f t="shared" si="31"/>
        <v>0</v>
      </c>
      <c r="Y57">
        <f t="shared" si="32"/>
        <v>0</v>
      </c>
      <c r="AA57">
        <v>-1</v>
      </c>
      <c r="AB57">
        <f t="shared" si="33"/>
        <v>28.98</v>
      </c>
      <c r="AC57">
        <f t="shared" si="34"/>
        <v>28.98</v>
      </c>
      <c r="AD57">
        <f>ROUND((((ET57)-(EU57))+AE57),6)</f>
        <v>0</v>
      </c>
      <c r="AE57">
        <f>ROUND((EU57),6)</f>
        <v>0</v>
      </c>
      <c r="AF57">
        <f>ROUND((EV57),6)</f>
        <v>0</v>
      </c>
      <c r="AG57">
        <f t="shared" si="35"/>
        <v>0</v>
      </c>
      <c r="AH57">
        <f>(EW57)</f>
        <v>0</v>
      </c>
      <c r="AI57">
        <f>(EX57)</f>
        <v>0</v>
      </c>
      <c r="AJ57">
        <f t="shared" si="36"/>
        <v>0</v>
      </c>
      <c r="AK57">
        <v>28.98</v>
      </c>
      <c r="AL57">
        <v>28.98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3.58</v>
      </c>
      <c r="BD57" t="s">
        <v>3</v>
      </c>
      <c r="BE57" t="s">
        <v>3</v>
      </c>
      <c r="BF57" t="s">
        <v>3</v>
      </c>
      <c r="BG57" t="s">
        <v>3</v>
      </c>
      <c r="BH57">
        <v>3</v>
      </c>
      <c r="BI57">
        <v>1</v>
      </c>
      <c r="BJ57" t="s">
        <v>59</v>
      </c>
      <c r="BM57">
        <v>2087</v>
      </c>
      <c r="BN57">
        <v>36862081</v>
      </c>
      <c r="BO57" t="s">
        <v>56</v>
      </c>
      <c r="BP57">
        <v>1</v>
      </c>
      <c r="BQ57">
        <v>30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0</v>
      </c>
      <c r="CA57">
        <v>0</v>
      </c>
      <c r="CB57" t="s">
        <v>3</v>
      </c>
      <c r="CE57">
        <v>30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37"/>
        <v>10727.58</v>
      </c>
      <c r="CQ57">
        <f t="shared" si="38"/>
        <v>103.75</v>
      </c>
      <c r="CR57">
        <f>(ROUND((ROUND(((ET57)*AV57*1),2)*BB57),2)+ROUND((ROUND(((AE57-(EU57))*AV57*1),2)*BS57),2))</f>
        <v>0</v>
      </c>
      <c r="CS57">
        <f t="shared" si="39"/>
        <v>0</v>
      </c>
      <c r="CT57">
        <f t="shared" si="40"/>
        <v>0</v>
      </c>
      <c r="CU57">
        <f t="shared" si="41"/>
        <v>0</v>
      </c>
      <c r="CV57">
        <f t="shared" si="42"/>
        <v>0</v>
      </c>
      <c r="CW57">
        <f t="shared" si="43"/>
        <v>0</v>
      </c>
      <c r="CX57">
        <f t="shared" si="44"/>
        <v>0</v>
      </c>
      <c r="CY57">
        <f t="shared" si="45"/>
        <v>0</v>
      </c>
      <c r="CZ57">
        <f t="shared" si="46"/>
        <v>0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100</v>
      </c>
      <c r="DO57">
        <v>64</v>
      </c>
      <c r="DP57">
        <v>1</v>
      </c>
      <c r="DQ57">
        <v>1</v>
      </c>
      <c r="DU57">
        <v>1009</v>
      </c>
      <c r="DV57" t="s">
        <v>58</v>
      </c>
      <c r="DW57" t="s">
        <v>58</v>
      </c>
      <c r="DX57">
        <v>1</v>
      </c>
      <c r="DZ57" t="s">
        <v>3</v>
      </c>
      <c r="EA57" t="s">
        <v>3</v>
      </c>
      <c r="EB57" t="s">
        <v>3</v>
      </c>
      <c r="EC57" t="s">
        <v>3</v>
      </c>
      <c r="EE57">
        <v>53214868</v>
      </c>
      <c r="EF57">
        <v>30</v>
      </c>
      <c r="EG57" t="s">
        <v>37</v>
      </c>
      <c r="EH57">
        <v>0</v>
      </c>
      <c r="EI57" t="s">
        <v>3</v>
      </c>
      <c r="EJ57">
        <v>1</v>
      </c>
      <c r="EK57">
        <v>2087</v>
      </c>
      <c r="EL57" t="s">
        <v>146</v>
      </c>
      <c r="EM57" t="s">
        <v>147</v>
      </c>
      <c r="EO57" t="s">
        <v>3</v>
      </c>
      <c r="EQ57">
        <v>1024</v>
      </c>
      <c r="ER57">
        <v>28.98</v>
      </c>
      <c r="ES57">
        <v>28.98</v>
      </c>
      <c r="ET57">
        <v>0</v>
      </c>
      <c r="EU57">
        <v>0</v>
      </c>
      <c r="EV57">
        <v>0</v>
      </c>
      <c r="EW57">
        <v>0</v>
      </c>
      <c r="EX57">
        <v>0</v>
      </c>
      <c r="FQ57">
        <v>0</v>
      </c>
      <c r="FR57">
        <f t="shared" si="47"/>
        <v>0</v>
      </c>
      <c r="FS57">
        <v>0</v>
      </c>
      <c r="FX57">
        <v>100</v>
      </c>
      <c r="FY57">
        <v>64</v>
      </c>
      <c r="GA57" t="s">
        <v>3</v>
      </c>
      <c r="GD57">
        <v>0</v>
      </c>
      <c r="GF57">
        <v>33071459</v>
      </c>
      <c r="GG57">
        <v>2</v>
      </c>
      <c r="GH57">
        <v>1</v>
      </c>
      <c r="GI57">
        <v>2</v>
      </c>
      <c r="GJ57">
        <v>0</v>
      </c>
      <c r="GK57">
        <f>ROUND(R57*(R12)/100,2)</f>
        <v>0</v>
      </c>
      <c r="GL57">
        <f t="shared" si="48"/>
        <v>0</v>
      </c>
      <c r="GM57">
        <f t="shared" si="58"/>
        <v>10727.58</v>
      </c>
      <c r="GN57">
        <f t="shared" si="50"/>
        <v>10727.58</v>
      </c>
      <c r="GO57">
        <f t="shared" si="51"/>
        <v>0</v>
      </c>
      <c r="GP57">
        <f t="shared" si="52"/>
        <v>0</v>
      </c>
      <c r="GR57">
        <v>0</v>
      </c>
      <c r="GS57">
        <v>3</v>
      </c>
      <c r="GT57">
        <v>0</v>
      </c>
      <c r="GU57" t="s">
        <v>3</v>
      </c>
      <c r="GV57">
        <f t="shared" si="53"/>
        <v>0</v>
      </c>
      <c r="GW57">
        <v>1</v>
      </c>
      <c r="GX57">
        <f t="shared" si="54"/>
        <v>0</v>
      </c>
      <c r="HA57">
        <v>0</v>
      </c>
      <c r="HB57">
        <v>0</v>
      </c>
      <c r="HC57">
        <f t="shared" si="55"/>
        <v>0</v>
      </c>
      <c r="HE57" t="s">
        <v>3</v>
      </c>
      <c r="HF57" t="s">
        <v>3</v>
      </c>
      <c r="HM57" t="s">
        <v>3</v>
      </c>
      <c r="HN57" t="s">
        <v>3</v>
      </c>
      <c r="HO57" t="s">
        <v>3</v>
      </c>
      <c r="HP57" t="s">
        <v>3</v>
      </c>
      <c r="HQ57" t="s">
        <v>3</v>
      </c>
      <c r="IK57">
        <v>0</v>
      </c>
    </row>
    <row r="58" spans="1:245" x14ac:dyDescent="0.2">
      <c r="A58">
        <v>18</v>
      </c>
      <c r="B58">
        <v>1</v>
      </c>
      <c r="C58">
        <v>73</v>
      </c>
      <c r="E58" t="s">
        <v>3</v>
      </c>
      <c r="F58" t="s">
        <v>89</v>
      </c>
      <c r="G58" t="s">
        <v>976</v>
      </c>
      <c r="H58" t="s">
        <v>58</v>
      </c>
      <c r="I58">
        <f>I56*J58</f>
        <v>155.1</v>
      </c>
      <c r="J58">
        <v>33</v>
      </c>
      <c r="K58">
        <v>33</v>
      </c>
      <c r="O58">
        <f t="shared" si="23"/>
        <v>79582.61</v>
      </c>
      <c r="P58">
        <f t="shared" si="24"/>
        <v>79582.61</v>
      </c>
      <c r="Q58">
        <f>(ROUND((ROUND(((ET58)*AV58*I58),2)*BB58),2)+ROUND((ROUND(((AE58-(EU58))*AV58*I58),2)*BS58),2))</f>
        <v>0</v>
      </c>
      <c r="R58">
        <f t="shared" si="25"/>
        <v>0</v>
      </c>
      <c r="S58">
        <f t="shared" si="26"/>
        <v>0</v>
      </c>
      <c r="T58">
        <f t="shared" si="27"/>
        <v>0</v>
      </c>
      <c r="U58">
        <f t="shared" si="28"/>
        <v>0</v>
      </c>
      <c r="V58">
        <f t="shared" si="29"/>
        <v>0</v>
      </c>
      <c r="W58">
        <f t="shared" si="30"/>
        <v>0</v>
      </c>
      <c r="X58">
        <f t="shared" si="31"/>
        <v>0</v>
      </c>
      <c r="Y58">
        <f t="shared" si="32"/>
        <v>0</v>
      </c>
      <c r="AA58">
        <v>-1</v>
      </c>
      <c r="AB58">
        <f t="shared" si="33"/>
        <v>108.25</v>
      </c>
      <c r="AC58">
        <f t="shared" si="34"/>
        <v>108.25</v>
      </c>
      <c r="AD58">
        <f>ROUND((((ET58)-(EU58))+AE58),6)</f>
        <v>0</v>
      </c>
      <c r="AE58">
        <f>ROUND((EU58),6)</f>
        <v>0</v>
      </c>
      <c r="AF58">
        <f>ROUND((EV58),6)</f>
        <v>0</v>
      </c>
      <c r="AG58">
        <f t="shared" si="35"/>
        <v>0</v>
      </c>
      <c r="AH58">
        <f>(EW58)</f>
        <v>0</v>
      </c>
      <c r="AI58">
        <f>(EX58)</f>
        <v>0</v>
      </c>
      <c r="AJ58">
        <f t="shared" si="36"/>
        <v>0</v>
      </c>
      <c r="AK58">
        <v>108.25</v>
      </c>
      <c r="AL58">
        <v>108.25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4.74</v>
      </c>
      <c r="BD58" t="s">
        <v>3</v>
      </c>
      <c r="BE58" t="s">
        <v>3</v>
      </c>
      <c r="BF58" t="s">
        <v>3</v>
      </c>
      <c r="BG58" t="s">
        <v>3</v>
      </c>
      <c r="BH58">
        <v>3</v>
      </c>
      <c r="BI58">
        <v>1</v>
      </c>
      <c r="BJ58" t="s">
        <v>90</v>
      </c>
      <c r="BM58">
        <v>2087</v>
      </c>
      <c r="BN58">
        <v>36862081</v>
      </c>
      <c r="BO58" t="s">
        <v>89</v>
      </c>
      <c r="BP58">
        <v>1</v>
      </c>
      <c r="BQ58">
        <v>30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0</v>
      </c>
      <c r="CA58">
        <v>0</v>
      </c>
      <c r="CB58" t="s">
        <v>3</v>
      </c>
      <c r="CE58">
        <v>30</v>
      </c>
      <c r="CF58">
        <v>0</v>
      </c>
      <c r="CG58">
        <v>0</v>
      </c>
      <c r="CM58">
        <v>0</v>
      </c>
      <c r="CN58" t="s">
        <v>3</v>
      </c>
      <c r="CO58">
        <v>0</v>
      </c>
      <c r="CP58">
        <f t="shared" si="37"/>
        <v>79582.61</v>
      </c>
      <c r="CQ58">
        <f t="shared" si="38"/>
        <v>513.11</v>
      </c>
      <c r="CR58">
        <f>(ROUND((ROUND(((ET58)*AV58*1),2)*BB58),2)+ROUND((ROUND(((AE58-(EU58))*AV58*1),2)*BS58),2))</f>
        <v>0</v>
      </c>
      <c r="CS58">
        <f t="shared" si="39"/>
        <v>0</v>
      </c>
      <c r="CT58">
        <f t="shared" si="40"/>
        <v>0</v>
      </c>
      <c r="CU58">
        <f t="shared" si="41"/>
        <v>0</v>
      </c>
      <c r="CV58">
        <f t="shared" si="42"/>
        <v>0</v>
      </c>
      <c r="CW58">
        <f t="shared" si="43"/>
        <v>0</v>
      </c>
      <c r="CX58">
        <f t="shared" si="44"/>
        <v>0</v>
      </c>
      <c r="CY58">
        <f t="shared" si="45"/>
        <v>0</v>
      </c>
      <c r="CZ58">
        <f t="shared" si="46"/>
        <v>0</v>
      </c>
      <c r="DC58" t="s">
        <v>3</v>
      </c>
      <c r="DD58" t="s">
        <v>3</v>
      </c>
      <c r="DE58" t="s">
        <v>3</v>
      </c>
      <c r="DF58" t="s">
        <v>3</v>
      </c>
      <c r="DG58" t="s">
        <v>3</v>
      </c>
      <c r="DH58" t="s">
        <v>3</v>
      </c>
      <c r="DI58" t="s">
        <v>3</v>
      </c>
      <c r="DJ58" t="s">
        <v>3</v>
      </c>
      <c r="DK58" t="s">
        <v>3</v>
      </c>
      <c r="DL58" t="s">
        <v>3</v>
      </c>
      <c r="DM58" t="s">
        <v>3</v>
      </c>
      <c r="DN58">
        <v>100</v>
      </c>
      <c r="DO58">
        <v>64</v>
      </c>
      <c r="DP58">
        <v>1</v>
      </c>
      <c r="DQ58">
        <v>1</v>
      </c>
      <c r="DU58">
        <v>1009</v>
      </c>
      <c r="DV58" t="s">
        <v>58</v>
      </c>
      <c r="DW58" t="s">
        <v>58</v>
      </c>
      <c r="DX58">
        <v>1</v>
      </c>
      <c r="DZ58" t="s">
        <v>3</v>
      </c>
      <c r="EA58" t="s">
        <v>3</v>
      </c>
      <c r="EB58" t="s">
        <v>3</v>
      </c>
      <c r="EC58" t="s">
        <v>3</v>
      </c>
      <c r="EE58">
        <v>53214868</v>
      </c>
      <c r="EF58">
        <v>30</v>
      </c>
      <c r="EG58" t="s">
        <v>37</v>
      </c>
      <c r="EH58">
        <v>0</v>
      </c>
      <c r="EI58" t="s">
        <v>3</v>
      </c>
      <c r="EJ58">
        <v>1</v>
      </c>
      <c r="EK58">
        <v>2087</v>
      </c>
      <c r="EL58" t="s">
        <v>146</v>
      </c>
      <c r="EM58" t="s">
        <v>147</v>
      </c>
      <c r="EO58" t="s">
        <v>3</v>
      </c>
      <c r="EQ58">
        <v>1024</v>
      </c>
      <c r="ER58">
        <v>108.25</v>
      </c>
      <c r="ES58">
        <v>108.25</v>
      </c>
      <c r="ET58">
        <v>0</v>
      </c>
      <c r="EU58">
        <v>0</v>
      </c>
      <c r="EV58">
        <v>0</v>
      </c>
      <c r="EW58">
        <v>0</v>
      </c>
      <c r="EX58">
        <v>0</v>
      </c>
      <c r="FQ58">
        <v>0</v>
      </c>
      <c r="FR58">
        <f t="shared" si="47"/>
        <v>0</v>
      </c>
      <c r="FS58">
        <v>0</v>
      </c>
      <c r="FX58">
        <v>100</v>
      </c>
      <c r="FY58">
        <v>64</v>
      </c>
      <c r="GA58" t="s">
        <v>3</v>
      </c>
      <c r="GD58">
        <v>0</v>
      </c>
      <c r="GF58">
        <v>-1515598087</v>
      </c>
      <c r="GG58">
        <v>2</v>
      </c>
      <c r="GH58">
        <v>1</v>
      </c>
      <c r="GI58">
        <v>2</v>
      </c>
      <c r="GJ58">
        <v>0</v>
      </c>
      <c r="GK58">
        <f>ROUND(R58*(R12)/100,2)</f>
        <v>0</v>
      </c>
      <c r="GL58">
        <f t="shared" si="48"/>
        <v>0</v>
      </c>
      <c r="GM58">
        <f t="shared" si="58"/>
        <v>79582.61</v>
      </c>
      <c r="GN58">
        <f t="shared" si="50"/>
        <v>79582.61</v>
      </c>
      <c r="GO58">
        <f t="shared" si="51"/>
        <v>0</v>
      </c>
      <c r="GP58">
        <f t="shared" si="52"/>
        <v>0</v>
      </c>
      <c r="GR58">
        <v>0</v>
      </c>
      <c r="GS58">
        <v>3</v>
      </c>
      <c r="GT58">
        <v>0</v>
      </c>
      <c r="GU58" t="s">
        <v>3</v>
      </c>
      <c r="GV58">
        <f t="shared" si="53"/>
        <v>0</v>
      </c>
      <c r="GW58">
        <v>1</v>
      </c>
      <c r="GX58">
        <f t="shared" si="54"/>
        <v>0</v>
      </c>
      <c r="HA58">
        <v>0</v>
      </c>
      <c r="HB58">
        <v>0</v>
      </c>
      <c r="HC58">
        <f t="shared" si="55"/>
        <v>0</v>
      </c>
      <c r="HE58" t="s">
        <v>3</v>
      </c>
      <c r="HF58" t="s">
        <v>3</v>
      </c>
      <c r="HM58" t="s">
        <v>3</v>
      </c>
      <c r="HN58" t="s">
        <v>3</v>
      </c>
      <c r="HO58" t="s">
        <v>3</v>
      </c>
      <c r="HP58" t="s">
        <v>3</v>
      </c>
      <c r="HQ58" t="s">
        <v>3</v>
      </c>
      <c r="IK58">
        <v>0</v>
      </c>
    </row>
    <row r="59" spans="1:245" x14ac:dyDescent="0.2">
      <c r="A59">
        <v>17</v>
      </c>
      <c r="B59">
        <v>1</v>
      </c>
      <c r="C59">
        <f>ROW(SmtRes!A77)</f>
        <v>77</v>
      </c>
      <c r="D59">
        <f>ROW(EtalonRes!A105)</f>
        <v>105</v>
      </c>
      <c r="E59" t="s">
        <v>3</v>
      </c>
      <c r="F59" t="s">
        <v>148</v>
      </c>
      <c r="G59" t="s">
        <v>149</v>
      </c>
      <c r="H59" t="s">
        <v>150</v>
      </c>
      <c r="I59">
        <f>ROUND(200/100,9)</f>
        <v>2</v>
      </c>
      <c r="J59">
        <v>0</v>
      </c>
      <c r="K59">
        <f>ROUND(200/100,9)</f>
        <v>2</v>
      </c>
      <c r="O59">
        <f t="shared" si="23"/>
        <v>18204.39</v>
      </c>
      <c r="P59">
        <f t="shared" si="24"/>
        <v>0</v>
      </c>
      <c r="Q59">
        <f>(ROUND((ROUND((((ET59*1.25))*AV59*I59),2)*BB59),2)+ROUND((ROUND(((AE59-((EU59*1.25)))*AV59*I59),2)*BS59),2))</f>
        <v>25.19</v>
      </c>
      <c r="R59">
        <f t="shared" si="25"/>
        <v>9.93</v>
      </c>
      <c r="S59">
        <f t="shared" si="26"/>
        <v>18179.2</v>
      </c>
      <c r="T59">
        <f t="shared" si="27"/>
        <v>0</v>
      </c>
      <c r="U59">
        <f t="shared" si="28"/>
        <v>52.923000000000002</v>
      </c>
      <c r="V59">
        <f t="shared" si="29"/>
        <v>0</v>
      </c>
      <c r="W59">
        <f t="shared" si="30"/>
        <v>0</v>
      </c>
      <c r="X59">
        <f t="shared" si="31"/>
        <v>15088.74</v>
      </c>
      <c r="Y59">
        <f t="shared" si="32"/>
        <v>7453.47</v>
      </c>
      <c r="AA59">
        <v>-1</v>
      </c>
      <c r="AB59">
        <f t="shared" si="33"/>
        <v>303.01600000000002</v>
      </c>
      <c r="AC59">
        <f t="shared" si="34"/>
        <v>0</v>
      </c>
      <c r="AD59">
        <f>ROUND(((((ET59*1.25))-((EU59*1.25)))+AE59),6)</f>
        <v>1.0375000000000001</v>
      </c>
      <c r="AE59">
        <f>ROUND(((EU59*1.25)),6)</f>
        <v>0.16250000000000001</v>
      </c>
      <c r="AF59">
        <f>ROUND(((EV59*1.15)),6)</f>
        <v>301.9785</v>
      </c>
      <c r="AG59">
        <f t="shared" si="35"/>
        <v>0</v>
      </c>
      <c r="AH59">
        <f>((EW59*1.15))</f>
        <v>26.461500000000001</v>
      </c>
      <c r="AI59">
        <f>((EX59*1.25))</f>
        <v>0</v>
      </c>
      <c r="AJ59">
        <f t="shared" si="36"/>
        <v>0</v>
      </c>
      <c r="AK59">
        <v>263.42</v>
      </c>
      <c r="AL59">
        <v>0</v>
      </c>
      <c r="AM59">
        <v>0.83</v>
      </c>
      <c r="AN59">
        <v>0.13</v>
      </c>
      <c r="AO59">
        <v>262.58999999999997</v>
      </c>
      <c r="AP59">
        <v>0</v>
      </c>
      <c r="AQ59">
        <v>23.01</v>
      </c>
      <c r="AR59">
        <v>0</v>
      </c>
      <c r="AS59">
        <v>0</v>
      </c>
      <c r="AT59">
        <v>83</v>
      </c>
      <c r="AU59">
        <v>41</v>
      </c>
      <c r="AV59">
        <v>1</v>
      </c>
      <c r="AW59">
        <v>1</v>
      </c>
      <c r="AZ59">
        <v>1</v>
      </c>
      <c r="BA59">
        <v>30.1</v>
      </c>
      <c r="BB59">
        <v>12.11</v>
      </c>
      <c r="BC59">
        <v>1</v>
      </c>
      <c r="BD59" t="s">
        <v>3</v>
      </c>
      <c r="BE59" t="s">
        <v>3</v>
      </c>
      <c r="BF59" t="s">
        <v>3</v>
      </c>
      <c r="BG59" t="s">
        <v>3</v>
      </c>
      <c r="BH59">
        <v>0</v>
      </c>
      <c r="BI59">
        <v>1</v>
      </c>
      <c r="BJ59" t="s">
        <v>151</v>
      </c>
      <c r="BM59">
        <v>1523</v>
      </c>
      <c r="BN59">
        <v>36862081</v>
      </c>
      <c r="BO59" t="s">
        <v>148</v>
      </c>
      <c r="BP59">
        <v>1</v>
      </c>
      <c r="BQ59">
        <v>30</v>
      </c>
      <c r="BR59">
        <v>0</v>
      </c>
      <c r="BS59">
        <v>30.1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83</v>
      </c>
      <c r="CA59">
        <v>41</v>
      </c>
      <c r="CB59" t="s">
        <v>3</v>
      </c>
      <c r="CE59">
        <v>30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37"/>
        <v>18204.39</v>
      </c>
      <c r="CQ59">
        <f t="shared" si="38"/>
        <v>0</v>
      </c>
      <c r="CR59">
        <f>(ROUND((ROUND((((ET59*1.25))*AV59*1),2)*BB59),2)+ROUND((ROUND(((AE59-((EU59*1.25)))*AV59*1),2)*BS59),2))</f>
        <v>12.59</v>
      </c>
      <c r="CS59">
        <f t="shared" si="39"/>
        <v>4.82</v>
      </c>
      <c r="CT59">
        <f t="shared" si="40"/>
        <v>9089.6</v>
      </c>
      <c r="CU59">
        <f t="shared" si="41"/>
        <v>0</v>
      </c>
      <c r="CV59">
        <f t="shared" si="42"/>
        <v>26.461500000000001</v>
      </c>
      <c r="CW59">
        <f t="shared" si="43"/>
        <v>0</v>
      </c>
      <c r="CX59">
        <f t="shared" si="44"/>
        <v>0</v>
      </c>
      <c r="CY59">
        <f t="shared" si="45"/>
        <v>15088.736000000001</v>
      </c>
      <c r="CZ59">
        <f t="shared" si="46"/>
        <v>7453.4719999999998</v>
      </c>
      <c r="DC59" t="s">
        <v>3</v>
      </c>
      <c r="DD59" t="s">
        <v>3</v>
      </c>
      <c r="DE59" t="s">
        <v>51</v>
      </c>
      <c r="DF59" t="s">
        <v>51</v>
      </c>
      <c r="DG59" t="s">
        <v>52</v>
      </c>
      <c r="DH59" t="s">
        <v>3</v>
      </c>
      <c r="DI59" t="s">
        <v>52</v>
      </c>
      <c r="DJ59" t="s">
        <v>51</v>
      </c>
      <c r="DK59" t="s">
        <v>3</v>
      </c>
      <c r="DL59" t="s">
        <v>3</v>
      </c>
      <c r="DM59" t="s">
        <v>3</v>
      </c>
      <c r="DN59">
        <v>100</v>
      </c>
      <c r="DO59">
        <v>64</v>
      </c>
      <c r="DP59">
        <v>1</v>
      </c>
      <c r="DQ59">
        <v>1</v>
      </c>
      <c r="DU59">
        <v>1003</v>
      </c>
      <c r="DV59" t="s">
        <v>150</v>
      </c>
      <c r="DW59" t="s">
        <v>150</v>
      </c>
      <c r="DX59">
        <v>100</v>
      </c>
      <c r="DZ59" t="s">
        <v>3</v>
      </c>
      <c r="EA59" t="s">
        <v>3</v>
      </c>
      <c r="EB59" t="s">
        <v>3</v>
      </c>
      <c r="EC59" t="s">
        <v>3</v>
      </c>
      <c r="EE59">
        <v>53214272</v>
      </c>
      <c r="EF59">
        <v>30</v>
      </c>
      <c r="EG59" t="s">
        <v>37</v>
      </c>
      <c r="EH59">
        <v>0</v>
      </c>
      <c r="EI59" t="s">
        <v>3</v>
      </c>
      <c r="EJ59">
        <v>1</v>
      </c>
      <c r="EK59">
        <v>1523</v>
      </c>
      <c r="EL59" t="s">
        <v>53</v>
      </c>
      <c r="EM59" t="s">
        <v>54</v>
      </c>
      <c r="EO59" t="s">
        <v>3</v>
      </c>
      <c r="EQ59">
        <v>1024</v>
      </c>
      <c r="ER59">
        <v>263.42</v>
      </c>
      <c r="ES59">
        <v>0</v>
      </c>
      <c r="ET59">
        <v>0.83</v>
      </c>
      <c r="EU59">
        <v>0.13</v>
      </c>
      <c r="EV59">
        <v>262.58999999999997</v>
      </c>
      <c r="EW59">
        <v>23.01</v>
      </c>
      <c r="EX59">
        <v>0</v>
      </c>
      <c r="EY59">
        <v>0</v>
      </c>
      <c r="FQ59">
        <v>0</v>
      </c>
      <c r="FR59">
        <f t="shared" si="47"/>
        <v>0</v>
      </c>
      <c r="FS59">
        <v>0</v>
      </c>
      <c r="FX59">
        <v>100</v>
      </c>
      <c r="FY59">
        <v>64</v>
      </c>
      <c r="GA59" t="s">
        <v>3</v>
      </c>
      <c r="GD59">
        <v>0</v>
      </c>
      <c r="GF59">
        <v>1808983497</v>
      </c>
      <c r="GG59">
        <v>2</v>
      </c>
      <c r="GH59">
        <v>1</v>
      </c>
      <c r="GI59">
        <v>2</v>
      </c>
      <c r="GJ59">
        <v>0</v>
      </c>
      <c r="GK59">
        <f>ROUND(R59*(R12)/100,2)</f>
        <v>15.89</v>
      </c>
      <c r="GL59">
        <f t="shared" si="48"/>
        <v>0</v>
      </c>
      <c r="GM59">
        <f t="shared" si="58"/>
        <v>40762.49</v>
      </c>
      <c r="GN59">
        <f t="shared" si="50"/>
        <v>40762.49</v>
      </c>
      <c r="GO59">
        <f t="shared" si="51"/>
        <v>0</v>
      </c>
      <c r="GP59">
        <f t="shared" si="52"/>
        <v>0</v>
      </c>
      <c r="GR59">
        <v>0</v>
      </c>
      <c r="GS59">
        <v>3</v>
      </c>
      <c r="GT59">
        <v>0</v>
      </c>
      <c r="GU59" t="s">
        <v>3</v>
      </c>
      <c r="GV59">
        <f t="shared" si="53"/>
        <v>0</v>
      </c>
      <c r="GW59">
        <v>1</v>
      </c>
      <c r="GX59">
        <f t="shared" si="54"/>
        <v>0</v>
      </c>
      <c r="HA59">
        <v>0</v>
      </c>
      <c r="HB59">
        <v>0</v>
      </c>
      <c r="HC59">
        <f t="shared" si="55"/>
        <v>0</v>
      </c>
      <c r="HE59" t="s">
        <v>3</v>
      </c>
      <c r="HF59" t="s">
        <v>3</v>
      </c>
      <c r="HM59" t="s">
        <v>3</v>
      </c>
      <c r="HN59" t="s">
        <v>3</v>
      </c>
      <c r="HO59" t="s">
        <v>3</v>
      </c>
      <c r="HP59" t="s">
        <v>3</v>
      </c>
      <c r="HQ59" t="s">
        <v>3</v>
      </c>
      <c r="IK59">
        <v>0</v>
      </c>
    </row>
    <row r="60" spans="1:245" x14ac:dyDescent="0.2">
      <c r="A60">
        <v>18</v>
      </c>
      <c r="B60">
        <v>1</v>
      </c>
      <c r="C60">
        <v>77</v>
      </c>
      <c r="E60" t="s">
        <v>3</v>
      </c>
      <c r="F60" t="s">
        <v>152</v>
      </c>
      <c r="G60" t="s">
        <v>153</v>
      </c>
      <c r="H60" t="s">
        <v>154</v>
      </c>
      <c r="I60">
        <f>I59*J60</f>
        <v>7.52</v>
      </c>
      <c r="J60">
        <v>3.76</v>
      </c>
      <c r="K60">
        <v>3.76</v>
      </c>
      <c r="O60">
        <f t="shared" si="23"/>
        <v>1917.8</v>
      </c>
      <c r="P60">
        <f t="shared" si="24"/>
        <v>1917.8</v>
      </c>
      <c r="Q60">
        <f>(ROUND((ROUND(((ET60)*AV60*I60),2)*BB60),2)+ROUND((ROUND(((AE60-(EU60))*AV60*I60),2)*BS60),2))</f>
        <v>0</v>
      </c>
      <c r="R60">
        <f t="shared" si="25"/>
        <v>0</v>
      </c>
      <c r="S60">
        <f t="shared" si="26"/>
        <v>0</v>
      </c>
      <c r="T60">
        <f t="shared" si="27"/>
        <v>0</v>
      </c>
      <c r="U60">
        <f t="shared" si="28"/>
        <v>0</v>
      </c>
      <c r="V60">
        <f t="shared" si="29"/>
        <v>0</v>
      </c>
      <c r="W60">
        <f t="shared" si="30"/>
        <v>0</v>
      </c>
      <c r="X60">
        <f t="shared" si="31"/>
        <v>0</v>
      </c>
      <c r="Y60">
        <f t="shared" si="32"/>
        <v>0</v>
      </c>
      <c r="AA60">
        <v>-1</v>
      </c>
      <c r="AB60">
        <f t="shared" si="33"/>
        <v>53.02</v>
      </c>
      <c r="AC60">
        <f t="shared" si="34"/>
        <v>53.02</v>
      </c>
      <c r="AD60">
        <f>ROUND((((ET60)-(EU60))+AE60),6)</f>
        <v>0</v>
      </c>
      <c r="AE60">
        <f>ROUND((EU60),6)</f>
        <v>0</v>
      </c>
      <c r="AF60">
        <f>ROUND((EV60),6)</f>
        <v>0</v>
      </c>
      <c r="AG60">
        <f t="shared" si="35"/>
        <v>0</v>
      </c>
      <c r="AH60">
        <f>(EW60)</f>
        <v>0</v>
      </c>
      <c r="AI60">
        <f>(EX60)</f>
        <v>0</v>
      </c>
      <c r="AJ60">
        <f t="shared" si="36"/>
        <v>0</v>
      </c>
      <c r="AK60">
        <v>53.02</v>
      </c>
      <c r="AL60">
        <v>53.02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4.8099999999999996</v>
      </c>
      <c r="BD60" t="s">
        <v>3</v>
      </c>
      <c r="BE60" t="s">
        <v>3</v>
      </c>
      <c r="BF60" t="s">
        <v>3</v>
      </c>
      <c r="BG60" t="s">
        <v>3</v>
      </c>
      <c r="BH60">
        <v>3</v>
      </c>
      <c r="BI60">
        <v>1</v>
      </c>
      <c r="BJ60" t="s">
        <v>155</v>
      </c>
      <c r="BM60">
        <v>1523</v>
      </c>
      <c r="BN60">
        <v>36862081</v>
      </c>
      <c r="BO60" t="s">
        <v>152</v>
      </c>
      <c r="BP60">
        <v>1</v>
      </c>
      <c r="BQ60">
        <v>30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0</v>
      </c>
      <c r="CA60">
        <v>0</v>
      </c>
      <c r="CB60" t="s">
        <v>3</v>
      </c>
      <c r="CE60">
        <v>30</v>
      </c>
      <c r="CF60">
        <v>0</v>
      </c>
      <c r="CG60">
        <v>0</v>
      </c>
      <c r="CM60">
        <v>0</v>
      </c>
      <c r="CN60" t="s">
        <v>3</v>
      </c>
      <c r="CO60">
        <v>0</v>
      </c>
      <c r="CP60">
        <f t="shared" si="37"/>
        <v>1917.8</v>
      </c>
      <c r="CQ60">
        <f t="shared" si="38"/>
        <v>255.03</v>
      </c>
      <c r="CR60">
        <f>(ROUND((ROUND(((ET60)*AV60*1),2)*BB60),2)+ROUND((ROUND(((AE60-(EU60))*AV60*1),2)*BS60),2))</f>
        <v>0</v>
      </c>
      <c r="CS60">
        <f t="shared" si="39"/>
        <v>0</v>
      </c>
      <c r="CT60">
        <f t="shared" si="40"/>
        <v>0</v>
      </c>
      <c r="CU60">
        <f t="shared" si="41"/>
        <v>0</v>
      </c>
      <c r="CV60">
        <f t="shared" si="42"/>
        <v>0</v>
      </c>
      <c r="CW60">
        <f t="shared" si="43"/>
        <v>0</v>
      </c>
      <c r="CX60">
        <f t="shared" si="44"/>
        <v>0</v>
      </c>
      <c r="CY60">
        <f t="shared" si="45"/>
        <v>0</v>
      </c>
      <c r="CZ60">
        <f t="shared" si="46"/>
        <v>0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100</v>
      </c>
      <c r="DO60">
        <v>64</v>
      </c>
      <c r="DP60">
        <v>1</v>
      </c>
      <c r="DQ60">
        <v>1</v>
      </c>
      <c r="DU60">
        <v>1002</v>
      </c>
      <c r="DV60" t="s">
        <v>154</v>
      </c>
      <c r="DW60" t="s">
        <v>154</v>
      </c>
      <c r="DX60">
        <v>1</v>
      </c>
      <c r="DZ60" t="s">
        <v>3</v>
      </c>
      <c r="EA60" t="s">
        <v>3</v>
      </c>
      <c r="EB60" t="s">
        <v>3</v>
      </c>
      <c r="EC60" t="s">
        <v>3</v>
      </c>
      <c r="EE60">
        <v>53214272</v>
      </c>
      <c r="EF60">
        <v>30</v>
      </c>
      <c r="EG60" t="s">
        <v>37</v>
      </c>
      <c r="EH60">
        <v>0</v>
      </c>
      <c r="EI60" t="s">
        <v>3</v>
      </c>
      <c r="EJ60">
        <v>1</v>
      </c>
      <c r="EK60">
        <v>1523</v>
      </c>
      <c r="EL60" t="s">
        <v>53</v>
      </c>
      <c r="EM60" t="s">
        <v>54</v>
      </c>
      <c r="EO60" t="s">
        <v>3</v>
      </c>
      <c r="EQ60">
        <v>1024</v>
      </c>
      <c r="ER60">
        <v>53.02</v>
      </c>
      <c r="ES60">
        <v>53.02</v>
      </c>
      <c r="ET60">
        <v>0</v>
      </c>
      <c r="EU60">
        <v>0</v>
      </c>
      <c r="EV60">
        <v>0</v>
      </c>
      <c r="EW60">
        <v>0</v>
      </c>
      <c r="EX60">
        <v>0</v>
      </c>
      <c r="FQ60">
        <v>0</v>
      </c>
      <c r="FR60">
        <f t="shared" si="47"/>
        <v>0</v>
      </c>
      <c r="FS60">
        <v>0</v>
      </c>
      <c r="FX60">
        <v>100</v>
      </c>
      <c r="FY60">
        <v>64</v>
      </c>
      <c r="GA60" t="s">
        <v>3</v>
      </c>
      <c r="GD60">
        <v>0</v>
      </c>
      <c r="GF60">
        <v>-365809417</v>
      </c>
      <c r="GG60">
        <v>2</v>
      </c>
      <c r="GH60">
        <v>1</v>
      </c>
      <c r="GI60">
        <v>2</v>
      </c>
      <c r="GJ60">
        <v>0</v>
      </c>
      <c r="GK60">
        <f>ROUND(R60*(R12)/100,2)</f>
        <v>0</v>
      </c>
      <c r="GL60">
        <f t="shared" si="48"/>
        <v>0</v>
      </c>
      <c r="GM60">
        <f t="shared" si="58"/>
        <v>1917.8</v>
      </c>
      <c r="GN60">
        <f t="shared" si="50"/>
        <v>1917.8</v>
      </c>
      <c r="GO60">
        <f t="shared" si="51"/>
        <v>0</v>
      </c>
      <c r="GP60">
        <f t="shared" si="52"/>
        <v>0</v>
      </c>
      <c r="GR60">
        <v>0</v>
      </c>
      <c r="GS60">
        <v>3</v>
      </c>
      <c r="GT60">
        <v>0</v>
      </c>
      <c r="GU60" t="s">
        <v>3</v>
      </c>
      <c r="GV60">
        <f t="shared" si="53"/>
        <v>0</v>
      </c>
      <c r="GW60">
        <v>1</v>
      </c>
      <c r="GX60">
        <f t="shared" si="54"/>
        <v>0</v>
      </c>
      <c r="HA60">
        <v>0</v>
      </c>
      <c r="HB60">
        <v>0</v>
      </c>
      <c r="HC60">
        <f t="shared" si="55"/>
        <v>0</v>
      </c>
      <c r="HE60" t="s">
        <v>3</v>
      </c>
      <c r="HF60" t="s">
        <v>3</v>
      </c>
      <c r="HM60" t="s">
        <v>3</v>
      </c>
      <c r="HN60" t="s">
        <v>3</v>
      </c>
      <c r="HO60" t="s">
        <v>3</v>
      </c>
      <c r="HP60" t="s">
        <v>3</v>
      </c>
      <c r="HQ60" t="s">
        <v>3</v>
      </c>
      <c r="IK60">
        <v>0</v>
      </c>
    </row>
    <row r="61" spans="1:245" x14ac:dyDescent="0.2">
      <c r="A61">
        <v>18</v>
      </c>
      <c r="B61">
        <v>1</v>
      </c>
      <c r="C61">
        <v>76</v>
      </c>
      <c r="E61" t="s">
        <v>3</v>
      </c>
      <c r="F61" t="s">
        <v>156</v>
      </c>
      <c r="G61" t="s">
        <v>157</v>
      </c>
      <c r="H61" t="s">
        <v>125</v>
      </c>
      <c r="I61">
        <f>I59*J61</f>
        <v>210</v>
      </c>
      <c r="J61">
        <v>105</v>
      </c>
      <c r="K61">
        <v>105</v>
      </c>
      <c r="O61">
        <f t="shared" si="23"/>
        <v>2270.23</v>
      </c>
      <c r="P61">
        <f t="shared" si="24"/>
        <v>2270.23</v>
      </c>
      <c r="Q61">
        <f>(ROUND((ROUND(((ET61)*AV61*I61),2)*BB61),2)+ROUND((ROUND(((AE61-(EU61))*AV61*I61),2)*BS61),2))</f>
        <v>0</v>
      </c>
      <c r="R61">
        <f t="shared" si="25"/>
        <v>0</v>
      </c>
      <c r="S61">
        <f t="shared" si="26"/>
        <v>0</v>
      </c>
      <c r="T61">
        <f t="shared" si="27"/>
        <v>0</v>
      </c>
      <c r="U61">
        <f t="shared" si="28"/>
        <v>0</v>
      </c>
      <c r="V61">
        <f t="shared" si="29"/>
        <v>0</v>
      </c>
      <c r="W61">
        <f t="shared" si="30"/>
        <v>0</v>
      </c>
      <c r="X61">
        <f t="shared" si="31"/>
        <v>0</v>
      </c>
      <c r="Y61">
        <f t="shared" si="32"/>
        <v>0</v>
      </c>
      <c r="AA61">
        <v>-1</v>
      </c>
      <c r="AB61">
        <f t="shared" si="33"/>
        <v>1.91</v>
      </c>
      <c r="AC61">
        <f t="shared" si="34"/>
        <v>1.91</v>
      </c>
      <c r="AD61">
        <f>ROUND((((ET61)-(EU61))+AE61),6)</f>
        <v>0</v>
      </c>
      <c r="AE61">
        <f>ROUND((EU61),6)</f>
        <v>0</v>
      </c>
      <c r="AF61">
        <f>ROUND((EV61),6)</f>
        <v>0</v>
      </c>
      <c r="AG61">
        <f t="shared" si="35"/>
        <v>0</v>
      </c>
      <c r="AH61">
        <f>(EW61)</f>
        <v>0</v>
      </c>
      <c r="AI61">
        <f>(EX61)</f>
        <v>0</v>
      </c>
      <c r="AJ61">
        <f t="shared" si="36"/>
        <v>0</v>
      </c>
      <c r="AK61">
        <v>1.91</v>
      </c>
      <c r="AL61">
        <v>1.91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5.66</v>
      </c>
      <c r="BD61" t="s">
        <v>3</v>
      </c>
      <c r="BE61" t="s">
        <v>3</v>
      </c>
      <c r="BF61" t="s">
        <v>3</v>
      </c>
      <c r="BG61" t="s">
        <v>3</v>
      </c>
      <c r="BH61">
        <v>3</v>
      </c>
      <c r="BI61">
        <v>1</v>
      </c>
      <c r="BJ61" t="s">
        <v>158</v>
      </c>
      <c r="BM61">
        <v>1523</v>
      </c>
      <c r="BN61">
        <v>36862081</v>
      </c>
      <c r="BO61" t="s">
        <v>156</v>
      </c>
      <c r="BP61">
        <v>1</v>
      </c>
      <c r="BQ61">
        <v>30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0</v>
      </c>
      <c r="CA61">
        <v>0</v>
      </c>
      <c r="CB61" t="s">
        <v>3</v>
      </c>
      <c r="CE61">
        <v>30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37"/>
        <v>2270.23</v>
      </c>
      <c r="CQ61">
        <f t="shared" si="38"/>
        <v>10.81</v>
      </c>
      <c r="CR61">
        <f>(ROUND((ROUND(((ET61)*AV61*1),2)*BB61),2)+ROUND((ROUND(((AE61-(EU61))*AV61*1),2)*BS61),2))</f>
        <v>0</v>
      </c>
      <c r="CS61">
        <f t="shared" si="39"/>
        <v>0</v>
      </c>
      <c r="CT61">
        <f t="shared" si="40"/>
        <v>0</v>
      </c>
      <c r="CU61">
        <f t="shared" si="41"/>
        <v>0</v>
      </c>
      <c r="CV61">
        <f t="shared" si="42"/>
        <v>0</v>
      </c>
      <c r="CW61">
        <f t="shared" si="43"/>
        <v>0</v>
      </c>
      <c r="CX61">
        <f t="shared" si="44"/>
        <v>0</v>
      </c>
      <c r="CY61">
        <f t="shared" si="45"/>
        <v>0</v>
      </c>
      <c r="CZ61">
        <f t="shared" si="46"/>
        <v>0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100</v>
      </c>
      <c r="DO61">
        <v>64</v>
      </c>
      <c r="DP61">
        <v>1</v>
      </c>
      <c r="DQ61">
        <v>1</v>
      </c>
      <c r="DU61">
        <v>1003</v>
      </c>
      <c r="DV61" t="s">
        <v>125</v>
      </c>
      <c r="DW61" t="s">
        <v>125</v>
      </c>
      <c r="DX61">
        <v>1</v>
      </c>
      <c r="DZ61" t="s">
        <v>3</v>
      </c>
      <c r="EA61" t="s">
        <v>3</v>
      </c>
      <c r="EB61" t="s">
        <v>3</v>
      </c>
      <c r="EC61" t="s">
        <v>3</v>
      </c>
      <c r="EE61">
        <v>53214272</v>
      </c>
      <c r="EF61">
        <v>30</v>
      </c>
      <c r="EG61" t="s">
        <v>37</v>
      </c>
      <c r="EH61">
        <v>0</v>
      </c>
      <c r="EI61" t="s">
        <v>3</v>
      </c>
      <c r="EJ61">
        <v>1</v>
      </c>
      <c r="EK61">
        <v>1523</v>
      </c>
      <c r="EL61" t="s">
        <v>53</v>
      </c>
      <c r="EM61" t="s">
        <v>54</v>
      </c>
      <c r="EO61" t="s">
        <v>3</v>
      </c>
      <c r="EQ61">
        <v>1024</v>
      </c>
      <c r="ER61">
        <v>1.91</v>
      </c>
      <c r="ES61">
        <v>1.91</v>
      </c>
      <c r="ET61">
        <v>0</v>
      </c>
      <c r="EU61">
        <v>0</v>
      </c>
      <c r="EV61">
        <v>0</v>
      </c>
      <c r="EW61">
        <v>0</v>
      </c>
      <c r="EX61">
        <v>0</v>
      </c>
      <c r="FQ61">
        <v>0</v>
      </c>
      <c r="FR61">
        <f t="shared" si="47"/>
        <v>0</v>
      </c>
      <c r="FS61">
        <v>0</v>
      </c>
      <c r="FX61">
        <v>100</v>
      </c>
      <c r="FY61">
        <v>64</v>
      </c>
      <c r="GA61" t="s">
        <v>3</v>
      </c>
      <c r="GD61">
        <v>0</v>
      </c>
      <c r="GF61">
        <v>728433713</v>
      </c>
      <c r="GG61">
        <v>2</v>
      </c>
      <c r="GH61">
        <v>1</v>
      </c>
      <c r="GI61">
        <v>2</v>
      </c>
      <c r="GJ61">
        <v>0</v>
      </c>
      <c r="GK61">
        <f>ROUND(R61*(R12)/100,2)</f>
        <v>0</v>
      </c>
      <c r="GL61">
        <f t="shared" si="48"/>
        <v>0</v>
      </c>
      <c r="GM61">
        <f t="shared" si="58"/>
        <v>2270.23</v>
      </c>
      <c r="GN61">
        <f t="shared" si="50"/>
        <v>2270.23</v>
      </c>
      <c r="GO61">
        <f t="shared" si="51"/>
        <v>0</v>
      </c>
      <c r="GP61">
        <f t="shared" si="52"/>
        <v>0</v>
      </c>
      <c r="GR61">
        <v>0</v>
      </c>
      <c r="GS61">
        <v>3</v>
      </c>
      <c r="GT61">
        <v>0</v>
      </c>
      <c r="GU61" t="s">
        <v>3</v>
      </c>
      <c r="GV61">
        <f t="shared" si="53"/>
        <v>0</v>
      </c>
      <c r="GW61">
        <v>1</v>
      </c>
      <c r="GX61">
        <f t="shared" si="54"/>
        <v>0</v>
      </c>
      <c r="HA61">
        <v>0</v>
      </c>
      <c r="HB61">
        <v>0</v>
      </c>
      <c r="HC61">
        <f t="shared" si="55"/>
        <v>0</v>
      </c>
      <c r="HE61" t="s">
        <v>3</v>
      </c>
      <c r="HF61" t="s">
        <v>3</v>
      </c>
      <c r="HM61" t="s">
        <v>3</v>
      </c>
      <c r="HN61" t="s">
        <v>3</v>
      </c>
      <c r="HO61" t="s">
        <v>3</v>
      </c>
      <c r="HP61" t="s">
        <v>3</v>
      </c>
      <c r="HQ61" t="s">
        <v>3</v>
      </c>
      <c r="IK61">
        <v>0</v>
      </c>
    </row>
    <row r="63" spans="1:245" x14ac:dyDescent="0.2">
      <c r="A63" s="2">
        <v>51</v>
      </c>
      <c r="B63" s="2">
        <f>B24</f>
        <v>1</v>
      </c>
      <c r="C63" s="2">
        <f>A24</f>
        <v>4</v>
      </c>
      <c r="D63" s="2">
        <f>ROW(A24)</f>
        <v>24</v>
      </c>
      <c r="E63" s="2"/>
      <c r="F63" s="2" t="str">
        <f>IF(F24&lt;&gt;"",F24,"")</f>
        <v>Новый раздел</v>
      </c>
      <c r="G63" s="2" t="str">
        <f>IF(G24&lt;&gt;"",G24,"")</f>
        <v>Потолок</v>
      </c>
      <c r="H63" s="2">
        <v>0</v>
      </c>
      <c r="I63" s="2"/>
      <c r="J63" s="2"/>
      <c r="K63" s="2"/>
      <c r="L63" s="2"/>
      <c r="M63" s="2"/>
      <c r="N63" s="2"/>
      <c r="O63" s="2">
        <f t="shared" ref="O63:T63" si="61">ROUND(AB63,2)</f>
        <v>171707.18</v>
      </c>
      <c r="P63" s="2">
        <f t="shared" si="61"/>
        <v>84631.55</v>
      </c>
      <c r="Q63" s="2">
        <f t="shared" si="61"/>
        <v>979.08</v>
      </c>
      <c r="R63" s="2">
        <f t="shared" si="61"/>
        <v>279.02999999999997</v>
      </c>
      <c r="S63" s="2">
        <f t="shared" si="61"/>
        <v>86096.55</v>
      </c>
      <c r="T63" s="2">
        <f t="shared" si="61"/>
        <v>0</v>
      </c>
      <c r="U63" s="2">
        <f>AH63</f>
        <v>246.93829999999997</v>
      </c>
      <c r="V63" s="2">
        <f>AI63</f>
        <v>0</v>
      </c>
      <c r="W63" s="2">
        <f>ROUND(AJ63,2)</f>
        <v>0</v>
      </c>
      <c r="X63" s="2">
        <f>ROUND(AK63,2)</f>
        <v>68452.479999999996</v>
      </c>
      <c r="Y63" s="2">
        <f>ROUND(AL63,2)</f>
        <v>35299.589999999997</v>
      </c>
      <c r="Z63" s="2"/>
      <c r="AA63" s="2"/>
      <c r="AB63" s="2">
        <f>ROUND(SUMIF(AA28:AA61,"=53860087",O28:O61),2)</f>
        <v>171707.18</v>
      </c>
      <c r="AC63" s="2">
        <f>ROUND(SUMIF(AA28:AA61,"=53860087",P28:P61),2)</f>
        <v>84631.55</v>
      </c>
      <c r="AD63" s="2">
        <f>ROUND(SUMIF(AA28:AA61,"=53860087",Q28:Q61),2)</f>
        <v>979.08</v>
      </c>
      <c r="AE63" s="2">
        <f>ROUND(SUMIF(AA28:AA61,"=53860087",R28:R61),2)</f>
        <v>279.02999999999997</v>
      </c>
      <c r="AF63" s="2">
        <f>ROUND(SUMIF(AA28:AA61,"=53860087",S28:S61),2)</f>
        <v>86096.55</v>
      </c>
      <c r="AG63" s="2">
        <f>ROUND(SUMIF(AA28:AA61,"=53860087",T28:T61),2)</f>
        <v>0</v>
      </c>
      <c r="AH63" s="2">
        <f>SUMIF(AA28:AA61,"=53860087",U28:U61)</f>
        <v>246.93829999999997</v>
      </c>
      <c r="AI63" s="2">
        <f>SUMIF(AA28:AA61,"=53860087",V28:V61)</f>
        <v>0</v>
      </c>
      <c r="AJ63" s="2">
        <f>ROUND(SUMIF(AA28:AA61,"=53860087",W28:W61),2)</f>
        <v>0</v>
      </c>
      <c r="AK63" s="2">
        <f>ROUND(SUMIF(AA28:AA61,"=53860087",X28:X61),2)</f>
        <v>68452.479999999996</v>
      </c>
      <c r="AL63" s="2">
        <f>ROUND(SUMIF(AA28:AA61,"=53860087",Y28:Y61),2)</f>
        <v>35299.589999999997</v>
      </c>
      <c r="AM63" s="2"/>
      <c r="AN63" s="2"/>
      <c r="AO63" s="2">
        <f t="shared" ref="AO63:BD63" si="62">ROUND(BX63,2)</f>
        <v>0</v>
      </c>
      <c r="AP63" s="2">
        <f t="shared" si="62"/>
        <v>0</v>
      </c>
      <c r="AQ63" s="2">
        <f t="shared" si="62"/>
        <v>0</v>
      </c>
      <c r="AR63" s="2">
        <f t="shared" si="62"/>
        <v>275905.71000000002</v>
      </c>
      <c r="AS63" s="2">
        <f t="shared" si="62"/>
        <v>275905.71000000002</v>
      </c>
      <c r="AT63" s="2">
        <f t="shared" si="62"/>
        <v>0</v>
      </c>
      <c r="AU63" s="2">
        <f t="shared" si="62"/>
        <v>0</v>
      </c>
      <c r="AV63" s="2">
        <f t="shared" si="62"/>
        <v>84631.55</v>
      </c>
      <c r="AW63" s="2">
        <f t="shared" si="62"/>
        <v>84631.55</v>
      </c>
      <c r="AX63" s="2">
        <f t="shared" si="62"/>
        <v>0</v>
      </c>
      <c r="AY63" s="2">
        <f t="shared" si="62"/>
        <v>84631.55</v>
      </c>
      <c r="AZ63" s="2">
        <f t="shared" si="62"/>
        <v>0</v>
      </c>
      <c r="BA63" s="2">
        <f t="shared" si="62"/>
        <v>0</v>
      </c>
      <c r="BB63" s="2">
        <f t="shared" si="62"/>
        <v>0</v>
      </c>
      <c r="BC63" s="2">
        <f t="shared" si="62"/>
        <v>0</v>
      </c>
      <c r="BD63" s="2">
        <f t="shared" si="62"/>
        <v>0</v>
      </c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>
        <f>ROUND(SUMIF(AA28:AA61,"=53860087",FQ28:FQ61),2)</f>
        <v>0</v>
      </c>
      <c r="BY63" s="2">
        <f>ROUND(SUMIF(AA28:AA61,"=53860087",FR28:FR61),2)</f>
        <v>0</v>
      </c>
      <c r="BZ63" s="2">
        <f>ROUND(SUMIF(AA28:AA61,"=53860087",GL28:GL61),2)</f>
        <v>0</v>
      </c>
      <c r="CA63" s="2">
        <f>ROUND(SUMIF(AA28:AA61,"=53860087",GM28:GM61),2)</f>
        <v>275905.71000000002</v>
      </c>
      <c r="CB63" s="2">
        <f>ROUND(SUMIF(AA28:AA61,"=53860087",GN28:GN61),2)</f>
        <v>275905.71000000002</v>
      </c>
      <c r="CC63" s="2">
        <f>ROUND(SUMIF(AA28:AA61,"=53860087",GO28:GO61),2)</f>
        <v>0</v>
      </c>
      <c r="CD63" s="2">
        <f>ROUND(SUMIF(AA28:AA61,"=53860087",GP28:GP61),2)</f>
        <v>0</v>
      </c>
      <c r="CE63" s="2">
        <f>AC63-BX63</f>
        <v>84631.55</v>
      </c>
      <c r="CF63" s="2">
        <f>AC63-BY63</f>
        <v>84631.55</v>
      </c>
      <c r="CG63" s="2">
        <f>BX63-BZ63</f>
        <v>0</v>
      </c>
      <c r="CH63" s="2">
        <f>AC63-BX63-BY63+BZ63</f>
        <v>84631.55</v>
      </c>
      <c r="CI63" s="2">
        <f>BY63-BZ63</f>
        <v>0</v>
      </c>
      <c r="CJ63" s="2">
        <f>ROUND(SUMIF(AA28:AA61,"=53860087",GX28:GX61),2)</f>
        <v>0</v>
      </c>
      <c r="CK63" s="2">
        <f>ROUND(SUMIF(AA28:AA61,"=53860087",GY28:GY61),2)</f>
        <v>0</v>
      </c>
      <c r="CL63" s="2">
        <f>ROUND(SUMIF(AA28:AA61,"=53860087",GZ28:GZ61),2)</f>
        <v>0</v>
      </c>
      <c r="CM63" s="2">
        <f>ROUND(SUMIF(AA28:AA61,"=53860087",HD28:HD61),2)</f>
        <v>0</v>
      </c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>
        <v>0</v>
      </c>
    </row>
    <row r="65" spans="1:28" x14ac:dyDescent="0.2">
      <c r="A65" s="4">
        <v>50</v>
      </c>
      <c r="B65" s="4">
        <v>0</v>
      </c>
      <c r="C65" s="4">
        <v>0</v>
      </c>
      <c r="D65" s="4">
        <v>1</v>
      </c>
      <c r="E65" s="4">
        <v>201</v>
      </c>
      <c r="F65" s="4">
        <f>ROUND(Source!O63,O65)</f>
        <v>171707.18</v>
      </c>
      <c r="G65" s="4" t="s">
        <v>159</v>
      </c>
      <c r="H65" s="4" t="s">
        <v>160</v>
      </c>
      <c r="I65" s="4"/>
      <c r="J65" s="4"/>
      <c r="K65" s="4">
        <v>201</v>
      </c>
      <c r="L65" s="4">
        <v>1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171707.18</v>
      </c>
      <c r="X65" s="4">
        <v>1</v>
      </c>
      <c r="Y65" s="4">
        <v>171707.18</v>
      </c>
      <c r="Z65" s="4"/>
      <c r="AA65" s="4"/>
      <c r="AB65" s="4"/>
    </row>
    <row r="66" spans="1:28" x14ac:dyDescent="0.2">
      <c r="A66" s="4">
        <v>50</v>
      </c>
      <c r="B66" s="4">
        <v>0</v>
      </c>
      <c r="C66" s="4">
        <v>0</v>
      </c>
      <c r="D66" s="4">
        <v>1</v>
      </c>
      <c r="E66" s="4">
        <v>202</v>
      </c>
      <c r="F66" s="4">
        <f>ROUND(Source!P63,O66)</f>
        <v>84631.55</v>
      </c>
      <c r="G66" s="4" t="s">
        <v>161</v>
      </c>
      <c r="H66" s="4" t="s">
        <v>162</v>
      </c>
      <c r="I66" s="4"/>
      <c r="J66" s="4"/>
      <c r="K66" s="4">
        <v>202</v>
      </c>
      <c r="L66" s="4">
        <v>2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84631.55</v>
      </c>
      <c r="X66" s="4">
        <v>1</v>
      </c>
      <c r="Y66" s="4">
        <v>84631.55</v>
      </c>
      <c r="Z66" s="4"/>
      <c r="AA66" s="4"/>
      <c r="AB66" s="4"/>
    </row>
    <row r="67" spans="1:28" x14ac:dyDescent="0.2">
      <c r="A67" s="4">
        <v>50</v>
      </c>
      <c r="B67" s="4">
        <v>0</v>
      </c>
      <c r="C67" s="4">
        <v>0</v>
      </c>
      <c r="D67" s="4">
        <v>1</v>
      </c>
      <c r="E67" s="4">
        <v>222</v>
      </c>
      <c r="F67" s="4">
        <f>ROUND(Source!AO63,O67)</f>
        <v>0</v>
      </c>
      <c r="G67" s="4" t="s">
        <v>163</v>
      </c>
      <c r="H67" s="4" t="s">
        <v>164</v>
      </c>
      <c r="I67" s="4"/>
      <c r="J67" s="4"/>
      <c r="K67" s="4">
        <v>222</v>
      </c>
      <c r="L67" s="4">
        <v>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8" x14ac:dyDescent="0.2">
      <c r="A68" s="4">
        <v>50</v>
      </c>
      <c r="B68" s="4">
        <v>0</v>
      </c>
      <c r="C68" s="4">
        <v>0</v>
      </c>
      <c r="D68" s="4">
        <v>1</v>
      </c>
      <c r="E68" s="4">
        <v>225</v>
      </c>
      <c r="F68" s="4">
        <f>ROUND(Source!AV63,O68)</f>
        <v>84631.55</v>
      </c>
      <c r="G68" s="4" t="s">
        <v>165</v>
      </c>
      <c r="H68" s="4" t="s">
        <v>166</v>
      </c>
      <c r="I68" s="4"/>
      <c r="J68" s="4"/>
      <c r="K68" s="4">
        <v>225</v>
      </c>
      <c r="L68" s="4">
        <v>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84631.55</v>
      </c>
      <c r="X68" s="4">
        <v>1</v>
      </c>
      <c r="Y68" s="4">
        <v>84631.55</v>
      </c>
      <c r="Z68" s="4"/>
      <c r="AA68" s="4"/>
      <c r="AB68" s="4"/>
    </row>
    <row r="69" spans="1:28" x14ac:dyDescent="0.2">
      <c r="A69" s="4">
        <v>50</v>
      </c>
      <c r="B69" s="4">
        <v>0</v>
      </c>
      <c r="C69" s="4">
        <v>0</v>
      </c>
      <c r="D69" s="4">
        <v>1</v>
      </c>
      <c r="E69" s="4">
        <v>226</v>
      </c>
      <c r="F69" s="4">
        <f>ROUND(Source!AW63,O69)</f>
        <v>84631.55</v>
      </c>
      <c r="G69" s="4" t="s">
        <v>167</v>
      </c>
      <c r="H69" s="4" t="s">
        <v>168</v>
      </c>
      <c r="I69" s="4"/>
      <c r="J69" s="4"/>
      <c r="K69" s="4">
        <v>226</v>
      </c>
      <c r="L69" s="4">
        <v>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84631.55</v>
      </c>
      <c r="X69" s="4">
        <v>1</v>
      </c>
      <c r="Y69" s="4">
        <v>84631.55</v>
      </c>
      <c r="Z69" s="4"/>
      <c r="AA69" s="4"/>
      <c r="AB69" s="4"/>
    </row>
    <row r="70" spans="1:28" x14ac:dyDescent="0.2">
      <c r="A70" s="4">
        <v>50</v>
      </c>
      <c r="B70" s="4">
        <v>0</v>
      </c>
      <c r="C70" s="4">
        <v>0</v>
      </c>
      <c r="D70" s="4">
        <v>1</v>
      </c>
      <c r="E70" s="4">
        <v>227</v>
      </c>
      <c r="F70" s="4">
        <f>ROUND(Source!AX63,O70)</f>
        <v>0</v>
      </c>
      <c r="G70" s="4" t="s">
        <v>169</v>
      </c>
      <c r="H70" s="4" t="s">
        <v>170</v>
      </c>
      <c r="I70" s="4"/>
      <c r="J70" s="4"/>
      <c r="K70" s="4">
        <v>227</v>
      </c>
      <c r="L70" s="4">
        <v>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8" x14ac:dyDescent="0.2">
      <c r="A71" s="4">
        <v>50</v>
      </c>
      <c r="B71" s="4">
        <v>0</v>
      </c>
      <c r="C71" s="4">
        <v>0</v>
      </c>
      <c r="D71" s="4">
        <v>1</v>
      </c>
      <c r="E71" s="4">
        <v>228</v>
      </c>
      <c r="F71" s="4">
        <f>ROUND(Source!AY63,O71)</f>
        <v>84631.55</v>
      </c>
      <c r="G71" s="4" t="s">
        <v>171</v>
      </c>
      <c r="H71" s="4" t="s">
        <v>172</v>
      </c>
      <c r="I71" s="4"/>
      <c r="J71" s="4"/>
      <c r="K71" s="4">
        <v>228</v>
      </c>
      <c r="L71" s="4">
        <v>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84631.55</v>
      </c>
      <c r="X71" s="4">
        <v>1</v>
      </c>
      <c r="Y71" s="4">
        <v>84631.55</v>
      </c>
      <c r="Z71" s="4"/>
      <c r="AA71" s="4"/>
      <c r="AB71" s="4"/>
    </row>
    <row r="72" spans="1:28" x14ac:dyDescent="0.2">
      <c r="A72" s="4">
        <v>50</v>
      </c>
      <c r="B72" s="4">
        <v>0</v>
      </c>
      <c r="C72" s="4">
        <v>0</v>
      </c>
      <c r="D72" s="4">
        <v>1</v>
      </c>
      <c r="E72" s="4">
        <v>216</v>
      </c>
      <c r="F72" s="4">
        <f>ROUND(Source!AP63,O72)</f>
        <v>0</v>
      </c>
      <c r="G72" s="4" t="s">
        <v>173</v>
      </c>
      <c r="H72" s="4" t="s">
        <v>174</v>
      </c>
      <c r="I72" s="4"/>
      <c r="J72" s="4"/>
      <c r="K72" s="4">
        <v>216</v>
      </c>
      <c r="L72" s="4">
        <v>8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8" x14ac:dyDescent="0.2">
      <c r="A73" s="4">
        <v>50</v>
      </c>
      <c r="B73" s="4">
        <v>0</v>
      </c>
      <c r="C73" s="4">
        <v>0</v>
      </c>
      <c r="D73" s="4">
        <v>1</v>
      </c>
      <c r="E73" s="4">
        <v>223</v>
      </c>
      <c r="F73" s="4">
        <f>ROUND(Source!AQ63,O73)</f>
        <v>0</v>
      </c>
      <c r="G73" s="4" t="s">
        <v>175</v>
      </c>
      <c r="H73" s="4" t="s">
        <v>176</v>
      </c>
      <c r="I73" s="4"/>
      <c r="J73" s="4"/>
      <c r="K73" s="4">
        <v>223</v>
      </c>
      <c r="L73" s="4">
        <v>9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8" x14ac:dyDescent="0.2">
      <c r="A74" s="4">
        <v>50</v>
      </c>
      <c r="B74" s="4">
        <v>0</v>
      </c>
      <c r="C74" s="4">
        <v>0</v>
      </c>
      <c r="D74" s="4">
        <v>1</v>
      </c>
      <c r="E74" s="4">
        <v>229</v>
      </c>
      <c r="F74" s="4">
        <f>ROUND(Source!AZ63,O74)</f>
        <v>0</v>
      </c>
      <c r="G74" s="4" t="s">
        <v>177</v>
      </c>
      <c r="H74" s="4" t="s">
        <v>178</v>
      </c>
      <c r="I74" s="4"/>
      <c r="J74" s="4"/>
      <c r="K74" s="4">
        <v>229</v>
      </c>
      <c r="L74" s="4">
        <v>10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28" x14ac:dyDescent="0.2">
      <c r="A75" s="4">
        <v>50</v>
      </c>
      <c r="B75" s="4">
        <v>0</v>
      </c>
      <c r="C75" s="4">
        <v>0</v>
      </c>
      <c r="D75" s="4">
        <v>1</v>
      </c>
      <c r="E75" s="4">
        <v>203</v>
      </c>
      <c r="F75" s="4">
        <f>ROUND(Source!Q63,O75)</f>
        <v>979.08</v>
      </c>
      <c r="G75" s="4" t="s">
        <v>179</v>
      </c>
      <c r="H75" s="4" t="s">
        <v>180</v>
      </c>
      <c r="I75" s="4"/>
      <c r="J75" s="4"/>
      <c r="K75" s="4">
        <v>203</v>
      </c>
      <c r="L75" s="4">
        <v>11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979.08</v>
      </c>
      <c r="X75" s="4">
        <v>1</v>
      </c>
      <c r="Y75" s="4">
        <v>979.08</v>
      </c>
      <c r="Z75" s="4"/>
      <c r="AA75" s="4"/>
      <c r="AB75" s="4"/>
    </row>
    <row r="76" spans="1:28" x14ac:dyDescent="0.2">
      <c r="A76" s="4">
        <v>50</v>
      </c>
      <c r="B76" s="4">
        <v>0</v>
      </c>
      <c r="C76" s="4">
        <v>0</v>
      </c>
      <c r="D76" s="4">
        <v>1</v>
      </c>
      <c r="E76" s="4">
        <v>231</v>
      </c>
      <c r="F76" s="4">
        <f>ROUND(Source!BB63,O76)</f>
        <v>0</v>
      </c>
      <c r="G76" s="4" t="s">
        <v>181</v>
      </c>
      <c r="H76" s="4" t="s">
        <v>182</v>
      </c>
      <c r="I76" s="4"/>
      <c r="J76" s="4"/>
      <c r="K76" s="4">
        <v>231</v>
      </c>
      <c r="L76" s="4">
        <v>12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8" x14ac:dyDescent="0.2">
      <c r="A77" s="4">
        <v>50</v>
      </c>
      <c r="B77" s="4">
        <v>0</v>
      </c>
      <c r="C77" s="4">
        <v>0</v>
      </c>
      <c r="D77" s="4">
        <v>1</v>
      </c>
      <c r="E77" s="4">
        <v>204</v>
      </c>
      <c r="F77" s="4">
        <f>ROUND(Source!R63,O77)</f>
        <v>279.02999999999997</v>
      </c>
      <c r="G77" s="4" t="s">
        <v>183</v>
      </c>
      <c r="H77" s="4" t="s">
        <v>184</v>
      </c>
      <c r="I77" s="4"/>
      <c r="J77" s="4"/>
      <c r="K77" s="4">
        <v>204</v>
      </c>
      <c r="L77" s="4">
        <v>13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279.02999999999997</v>
      </c>
      <c r="X77" s="4">
        <v>1</v>
      </c>
      <c r="Y77" s="4">
        <v>279.02999999999997</v>
      </c>
      <c r="Z77" s="4"/>
      <c r="AA77" s="4"/>
      <c r="AB77" s="4"/>
    </row>
    <row r="78" spans="1:28" x14ac:dyDescent="0.2">
      <c r="A78" s="4">
        <v>50</v>
      </c>
      <c r="B78" s="4">
        <v>0</v>
      </c>
      <c r="C78" s="4">
        <v>0</v>
      </c>
      <c r="D78" s="4">
        <v>1</v>
      </c>
      <c r="E78" s="4">
        <v>205</v>
      </c>
      <c r="F78" s="4">
        <f>ROUND(Source!S63,O78)</f>
        <v>86096.55</v>
      </c>
      <c r="G78" s="4" t="s">
        <v>185</v>
      </c>
      <c r="H78" s="4" t="s">
        <v>186</v>
      </c>
      <c r="I78" s="4"/>
      <c r="J78" s="4"/>
      <c r="K78" s="4">
        <v>205</v>
      </c>
      <c r="L78" s="4">
        <v>14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86096.55</v>
      </c>
      <c r="X78" s="4">
        <v>1</v>
      </c>
      <c r="Y78" s="4">
        <v>86096.55</v>
      </c>
      <c r="Z78" s="4"/>
      <c r="AA78" s="4"/>
      <c r="AB78" s="4"/>
    </row>
    <row r="79" spans="1:28" x14ac:dyDescent="0.2">
      <c r="A79" s="4">
        <v>50</v>
      </c>
      <c r="B79" s="4">
        <v>0</v>
      </c>
      <c r="C79" s="4">
        <v>0</v>
      </c>
      <c r="D79" s="4">
        <v>1</v>
      </c>
      <c r="E79" s="4">
        <v>232</v>
      </c>
      <c r="F79" s="4">
        <f>ROUND(Source!BC63,O79)</f>
        <v>0</v>
      </c>
      <c r="G79" s="4" t="s">
        <v>187</v>
      </c>
      <c r="H79" s="4" t="s">
        <v>188</v>
      </c>
      <c r="I79" s="4"/>
      <c r="J79" s="4"/>
      <c r="K79" s="4">
        <v>232</v>
      </c>
      <c r="L79" s="4">
        <v>15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8" x14ac:dyDescent="0.2">
      <c r="A80" s="4">
        <v>50</v>
      </c>
      <c r="B80" s="4">
        <v>0</v>
      </c>
      <c r="C80" s="4">
        <v>0</v>
      </c>
      <c r="D80" s="4">
        <v>1</v>
      </c>
      <c r="E80" s="4">
        <v>214</v>
      </c>
      <c r="F80" s="4">
        <f>ROUND(Source!AS63,O80)</f>
        <v>275905.71000000002</v>
      </c>
      <c r="G80" s="4" t="s">
        <v>189</v>
      </c>
      <c r="H80" s="4" t="s">
        <v>190</v>
      </c>
      <c r="I80" s="4"/>
      <c r="J80" s="4"/>
      <c r="K80" s="4">
        <v>214</v>
      </c>
      <c r="L80" s="4">
        <v>16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275905.71000000002</v>
      </c>
      <c r="X80" s="4">
        <v>1</v>
      </c>
      <c r="Y80" s="4">
        <v>275905.71000000002</v>
      </c>
      <c r="Z80" s="4"/>
      <c r="AA80" s="4"/>
      <c r="AB80" s="4"/>
    </row>
    <row r="81" spans="1:206" x14ac:dyDescent="0.2">
      <c r="A81" s="4">
        <v>50</v>
      </c>
      <c r="B81" s="4">
        <v>0</v>
      </c>
      <c r="C81" s="4">
        <v>0</v>
      </c>
      <c r="D81" s="4">
        <v>1</v>
      </c>
      <c r="E81" s="4">
        <v>215</v>
      </c>
      <c r="F81" s="4">
        <f>ROUND(Source!AT63,O81)</f>
        <v>0</v>
      </c>
      <c r="G81" s="4" t="s">
        <v>46</v>
      </c>
      <c r="H81" s="4" t="s">
        <v>191</v>
      </c>
      <c r="I81" s="4"/>
      <c r="J81" s="4"/>
      <c r="K81" s="4">
        <v>215</v>
      </c>
      <c r="L81" s="4">
        <v>17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06" x14ac:dyDescent="0.2">
      <c r="A82" s="4">
        <v>50</v>
      </c>
      <c r="B82" s="4">
        <v>0</v>
      </c>
      <c r="C82" s="4">
        <v>0</v>
      </c>
      <c r="D82" s="4">
        <v>1</v>
      </c>
      <c r="E82" s="4">
        <v>217</v>
      </c>
      <c r="F82" s="4">
        <f>ROUND(Source!AU63,O82)</f>
        <v>0</v>
      </c>
      <c r="G82" s="4" t="s">
        <v>192</v>
      </c>
      <c r="H82" s="4" t="s">
        <v>193</v>
      </c>
      <c r="I82" s="4"/>
      <c r="J82" s="4"/>
      <c r="K82" s="4">
        <v>217</v>
      </c>
      <c r="L82" s="4">
        <v>18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06" x14ac:dyDescent="0.2">
      <c r="A83" s="4">
        <v>50</v>
      </c>
      <c r="B83" s="4">
        <v>0</v>
      </c>
      <c r="C83" s="4">
        <v>0</v>
      </c>
      <c r="D83" s="4">
        <v>1</v>
      </c>
      <c r="E83" s="4">
        <v>230</v>
      </c>
      <c r="F83" s="4">
        <f>ROUND(Source!BA63,O83)</f>
        <v>0</v>
      </c>
      <c r="G83" s="4" t="s">
        <v>194</v>
      </c>
      <c r="H83" s="4" t="s">
        <v>195</v>
      </c>
      <c r="I83" s="4"/>
      <c r="J83" s="4"/>
      <c r="K83" s="4">
        <v>230</v>
      </c>
      <c r="L83" s="4">
        <v>19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06" x14ac:dyDescent="0.2">
      <c r="A84" s="4">
        <v>50</v>
      </c>
      <c r="B84" s="4">
        <v>0</v>
      </c>
      <c r="C84" s="4">
        <v>0</v>
      </c>
      <c r="D84" s="4">
        <v>1</v>
      </c>
      <c r="E84" s="4">
        <v>206</v>
      </c>
      <c r="F84" s="4">
        <f>ROUND(Source!T63,O84)</f>
        <v>0</v>
      </c>
      <c r="G84" s="4" t="s">
        <v>196</v>
      </c>
      <c r="H84" s="4" t="s">
        <v>197</v>
      </c>
      <c r="I84" s="4"/>
      <c r="J84" s="4"/>
      <c r="K84" s="4">
        <v>206</v>
      </c>
      <c r="L84" s="4">
        <v>20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06" x14ac:dyDescent="0.2">
      <c r="A85" s="4">
        <v>50</v>
      </c>
      <c r="B85" s="4">
        <v>0</v>
      </c>
      <c r="C85" s="4">
        <v>0</v>
      </c>
      <c r="D85" s="4">
        <v>1</v>
      </c>
      <c r="E85" s="4">
        <v>207</v>
      </c>
      <c r="F85" s="4">
        <f>Source!U63</f>
        <v>246.93829999999997</v>
      </c>
      <c r="G85" s="4" t="s">
        <v>198</v>
      </c>
      <c r="H85" s="4" t="s">
        <v>199</v>
      </c>
      <c r="I85" s="4"/>
      <c r="J85" s="4"/>
      <c r="K85" s="4">
        <v>207</v>
      </c>
      <c r="L85" s="4">
        <v>21</v>
      </c>
      <c r="M85" s="4">
        <v>3</v>
      </c>
      <c r="N85" s="4" t="s">
        <v>3</v>
      </c>
      <c r="O85" s="4">
        <v>-1</v>
      </c>
      <c r="P85" s="4"/>
      <c r="Q85" s="4"/>
      <c r="R85" s="4"/>
      <c r="S85" s="4"/>
      <c r="T85" s="4"/>
      <c r="U85" s="4"/>
      <c r="V85" s="4"/>
      <c r="W85" s="4">
        <v>246.9383</v>
      </c>
      <c r="X85" s="4">
        <v>1</v>
      </c>
      <c r="Y85" s="4">
        <v>246.9383</v>
      </c>
      <c r="Z85" s="4"/>
      <c r="AA85" s="4"/>
      <c r="AB85" s="4"/>
    </row>
    <row r="86" spans="1:206" x14ac:dyDescent="0.2">
      <c r="A86" s="4">
        <v>50</v>
      </c>
      <c r="B86" s="4">
        <v>0</v>
      </c>
      <c r="C86" s="4">
        <v>0</v>
      </c>
      <c r="D86" s="4">
        <v>1</v>
      </c>
      <c r="E86" s="4">
        <v>208</v>
      </c>
      <c r="F86" s="4">
        <f>Source!V63</f>
        <v>0</v>
      </c>
      <c r="G86" s="4" t="s">
        <v>200</v>
      </c>
      <c r="H86" s="4" t="s">
        <v>201</v>
      </c>
      <c r="I86" s="4"/>
      <c r="J86" s="4"/>
      <c r="K86" s="4">
        <v>208</v>
      </c>
      <c r="L86" s="4">
        <v>22</v>
      </c>
      <c r="M86" s="4">
        <v>3</v>
      </c>
      <c r="N86" s="4" t="s">
        <v>3</v>
      </c>
      <c r="O86" s="4">
        <v>-1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06" x14ac:dyDescent="0.2">
      <c r="A87" s="4">
        <v>50</v>
      </c>
      <c r="B87" s="4">
        <v>0</v>
      </c>
      <c r="C87" s="4">
        <v>0</v>
      </c>
      <c r="D87" s="4">
        <v>1</v>
      </c>
      <c r="E87" s="4">
        <v>209</v>
      </c>
      <c r="F87" s="4">
        <f>ROUND(Source!W63,O87)</f>
        <v>0</v>
      </c>
      <c r="G87" s="4" t="s">
        <v>202</v>
      </c>
      <c r="H87" s="4" t="s">
        <v>203</v>
      </c>
      <c r="I87" s="4"/>
      <c r="J87" s="4"/>
      <c r="K87" s="4">
        <v>209</v>
      </c>
      <c r="L87" s="4">
        <v>23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06" x14ac:dyDescent="0.2">
      <c r="A88" s="4">
        <v>50</v>
      </c>
      <c r="B88" s="4">
        <v>0</v>
      </c>
      <c r="C88" s="4">
        <v>0</v>
      </c>
      <c r="D88" s="4">
        <v>1</v>
      </c>
      <c r="E88" s="4">
        <v>233</v>
      </c>
      <c r="F88" s="4">
        <f>ROUND(Source!BD63,O88)</f>
        <v>0</v>
      </c>
      <c r="G88" s="4" t="s">
        <v>204</v>
      </c>
      <c r="H88" s="4" t="s">
        <v>205</v>
      </c>
      <c r="I88" s="4"/>
      <c r="J88" s="4"/>
      <c r="K88" s="4">
        <v>233</v>
      </c>
      <c r="L88" s="4">
        <v>24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06" x14ac:dyDescent="0.2">
      <c r="A89" s="4">
        <v>50</v>
      </c>
      <c r="B89" s="4">
        <v>0</v>
      </c>
      <c r="C89" s="4">
        <v>0</v>
      </c>
      <c r="D89" s="4">
        <v>1</v>
      </c>
      <c r="E89" s="4">
        <v>210</v>
      </c>
      <c r="F89" s="4">
        <f>ROUND(Source!X63,O89)</f>
        <v>68452.479999999996</v>
      </c>
      <c r="G89" s="4" t="s">
        <v>206</v>
      </c>
      <c r="H89" s="4" t="s">
        <v>207</v>
      </c>
      <c r="I89" s="4"/>
      <c r="J89" s="4"/>
      <c r="K89" s="4">
        <v>210</v>
      </c>
      <c r="L89" s="4">
        <v>25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68452.479999999996</v>
      </c>
      <c r="X89" s="4">
        <v>1</v>
      </c>
      <c r="Y89" s="4">
        <v>68452.479999999996</v>
      </c>
      <c r="Z89" s="4"/>
      <c r="AA89" s="4"/>
      <c r="AB89" s="4"/>
    </row>
    <row r="90" spans="1:206" x14ac:dyDescent="0.2">
      <c r="A90" s="4">
        <v>50</v>
      </c>
      <c r="B90" s="4">
        <v>0</v>
      </c>
      <c r="C90" s="4">
        <v>0</v>
      </c>
      <c r="D90" s="4">
        <v>1</v>
      </c>
      <c r="E90" s="4">
        <v>211</v>
      </c>
      <c r="F90" s="4">
        <f>ROUND(Source!Y63,O90)</f>
        <v>35299.589999999997</v>
      </c>
      <c r="G90" s="4" t="s">
        <v>208</v>
      </c>
      <c r="H90" s="4" t="s">
        <v>209</v>
      </c>
      <c r="I90" s="4"/>
      <c r="J90" s="4"/>
      <c r="K90" s="4">
        <v>211</v>
      </c>
      <c r="L90" s="4">
        <v>26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35299.589999999997</v>
      </c>
      <c r="X90" s="4">
        <v>1</v>
      </c>
      <c r="Y90" s="4">
        <v>35299.589999999997</v>
      </c>
      <c r="Z90" s="4"/>
      <c r="AA90" s="4"/>
      <c r="AB90" s="4"/>
    </row>
    <row r="91" spans="1:206" x14ac:dyDescent="0.2">
      <c r="A91" s="4">
        <v>50</v>
      </c>
      <c r="B91" s="4">
        <v>0</v>
      </c>
      <c r="C91" s="4">
        <v>0</v>
      </c>
      <c r="D91" s="4">
        <v>1</v>
      </c>
      <c r="E91" s="4">
        <v>224</v>
      </c>
      <c r="F91" s="4">
        <f>ROUND(Source!AR63,O91)</f>
        <v>275905.71000000002</v>
      </c>
      <c r="G91" s="4" t="s">
        <v>210</v>
      </c>
      <c r="H91" s="4" t="s">
        <v>211</v>
      </c>
      <c r="I91" s="4"/>
      <c r="J91" s="4"/>
      <c r="K91" s="4">
        <v>224</v>
      </c>
      <c r="L91" s="4">
        <v>27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275905.71000000002</v>
      </c>
      <c r="X91" s="4">
        <v>1</v>
      </c>
      <c r="Y91" s="4">
        <v>275905.71000000002</v>
      </c>
      <c r="Z91" s="4"/>
      <c r="AA91" s="4"/>
      <c r="AB91" s="4"/>
    </row>
    <row r="93" spans="1:206" x14ac:dyDescent="0.2">
      <c r="A93" s="1">
        <v>4</v>
      </c>
      <c r="B93" s="1">
        <v>1</v>
      </c>
      <c r="C93" s="1"/>
      <c r="D93" s="1">
        <f>ROW(A158)</f>
        <v>158</v>
      </c>
      <c r="E93" s="1"/>
      <c r="F93" s="1" t="s">
        <v>14</v>
      </c>
      <c r="G93" s="1" t="s">
        <v>212</v>
      </c>
      <c r="H93" s="1" t="s">
        <v>3</v>
      </c>
      <c r="I93" s="1">
        <v>0</v>
      </c>
      <c r="J93" s="1"/>
      <c r="K93" s="1">
        <v>0</v>
      </c>
      <c r="L93" s="1"/>
      <c r="M93" s="1" t="s">
        <v>3</v>
      </c>
      <c r="N93" s="1"/>
      <c r="O93" s="1"/>
      <c r="P93" s="1"/>
      <c r="Q93" s="1"/>
      <c r="R93" s="1"/>
      <c r="S93" s="1">
        <v>0</v>
      </c>
      <c r="T93" s="1"/>
      <c r="U93" s="1" t="s">
        <v>3</v>
      </c>
      <c r="V93" s="1">
        <v>0</v>
      </c>
      <c r="W93" s="1"/>
      <c r="X93" s="1"/>
      <c r="Y93" s="1"/>
      <c r="Z93" s="1"/>
      <c r="AA93" s="1"/>
      <c r="AB93" s="1" t="s">
        <v>3</v>
      </c>
      <c r="AC93" s="1" t="s">
        <v>3</v>
      </c>
      <c r="AD93" s="1" t="s">
        <v>3</v>
      </c>
      <c r="AE93" s="1" t="s">
        <v>3</v>
      </c>
      <c r="AF93" s="1" t="s">
        <v>3</v>
      </c>
      <c r="AG93" s="1" t="s">
        <v>3</v>
      </c>
      <c r="AH93" s="1"/>
      <c r="AI93" s="1"/>
      <c r="AJ93" s="1"/>
      <c r="AK93" s="1"/>
      <c r="AL93" s="1"/>
      <c r="AM93" s="1"/>
      <c r="AN93" s="1"/>
      <c r="AO93" s="1"/>
      <c r="AP93" s="1" t="s">
        <v>3</v>
      </c>
      <c r="AQ93" s="1" t="s">
        <v>3</v>
      </c>
      <c r="AR93" s="1" t="s">
        <v>3</v>
      </c>
      <c r="AS93" s="1"/>
      <c r="AT93" s="1"/>
      <c r="AU93" s="1"/>
      <c r="AV93" s="1"/>
      <c r="AW93" s="1"/>
      <c r="AX93" s="1"/>
      <c r="AY93" s="1"/>
      <c r="AZ93" s="1" t="s">
        <v>3</v>
      </c>
      <c r="BA93" s="1"/>
      <c r="BB93" s="1" t="s">
        <v>3</v>
      </c>
      <c r="BC93" s="1" t="s">
        <v>3</v>
      </c>
      <c r="BD93" s="1" t="s">
        <v>3</v>
      </c>
      <c r="BE93" s="1" t="s">
        <v>3</v>
      </c>
      <c r="BF93" s="1" t="s">
        <v>3</v>
      </c>
      <c r="BG93" s="1" t="s">
        <v>3</v>
      </c>
      <c r="BH93" s="1" t="s">
        <v>3</v>
      </c>
      <c r="BI93" s="1" t="s">
        <v>3</v>
      </c>
      <c r="BJ93" s="1" t="s">
        <v>3</v>
      </c>
      <c r="BK93" s="1" t="s">
        <v>3</v>
      </c>
      <c r="BL93" s="1" t="s">
        <v>3</v>
      </c>
      <c r="BM93" s="1" t="s">
        <v>3</v>
      </c>
      <c r="BN93" s="1" t="s">
        <v>3</v>
      </c>
      <c r="BO93" s="1" t="s">
        <v>3</v>
      </c>
      <c r="BP93" s="1" t="s">
        <v>3</v>
      </c>
      <c r="BQ93" s="1"/>
      <c r="BR93" s="1"/>
      <c r="BS93" s="1"/>
      <c r="BT93" s="1"/>
      <c r="BU93" s="1"/>
      <c r="BV93" s="1"/>
      <c r="BW93" s="1"/>
      <c r="BX93" s="1">
        <v>0</v>
      </c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>
        <v>0</v>
      </c>
    </row>
    <row r="95" spans="1:206" x14ac:dyDescent="0.2">
      <c r="A95" s="2">
        <v>52</v>
      </c>
      <c r="B95" s="2">
        <f t="shared" ref="B95:G95" si="63">B158</f>
        <v>1</v>
      </c>
      <c r="C95" s="2">
        <f t="shared" si="63"/>
        <v>4</v>
      </c>
      <c r="D95" s="2">
        <f t="shared" si="63"/>
        <v>93</v>
      </c>
      <c r="E95" s="2">
        <f t="shared" si="63"/>
        <v>0</v>
      </c>
      <c r="F95" s="2" t="str">
        <f t="shared" si="63"/>
        <v>Новый раздел</v>
      </c>
      <c r="G95" s="2" t="str">
        <f t="shared" si="63"/>
        <v>Стены</v>
      </c>
      <c r="H95" s="2"/>
      <c r="I95" s="2"/>
      <c r="J95" s="2"/>
      <c r="K95" s="2"/>
      <c r="L95" s="2"/>
      <c r="M95" s="2"/>
      <c r="N95" s="2"/>
      <c r="O95" s="2">
        <f t="shared" ref="O95:AT95" si="64">O158</f>
        <v>399135.48</v>
      </c>
      <c r="P95" s="2">
        <f t="shared" si="64"/>
        <v>170205.85</v>
      </c>
      <c r="Q95" s="2">
        <f t="shared" si="64"/>
        <v>8273.15</v>
      </c>
      <c r="R95" s="2">
        <f t="shared" si="64"/>
        <v>5586.87</v>
      </c>
      <c r="S95" s="2">
        <f t="shared" si="64"/>
        <v>220656.48</v>
      </c>
      <c r="T95" s="2">
        <f t="shared" si="64"/>
        <v>0</v>
      </c>
      <c r="U95" s="2">
        <f t="shared" si="64"/>
        <v>613.55583000000001</v>
      </c>
      <c r="V95" s="2">
        <f t="shared" si="64"/>
        <v>0</v>
      </c>
      <c r="W95" s="2">
        <f t="shared" si="64"/>
        <v>0</v>
      </c>
      <c r="X95" s="2">
        <f t="shared" si="64"/>
        <v>178682.38</v>
      </c>
      <c r="Y95" s="2">
        <f t="shared" si="64"/>
        <v>90469.16</v>
      </c>
      <c r="Z95" s="2">
        <f t="shared" si="64"/>
        <v>0</v>
      </c>
      <c r="AA95" s="2">
        <f t="shared" si="64"/>
        <v>0</v>
      </c>
      <c r="AB95" s="2">
        <f t="shared" si="64"/>
        <v>399135.48</v>
      </c>
      <c r="AC95" s="2">
        <f t="shared" si="64"/>
        <v>170205.85</v>
      </c>
      <c r="AD95" s="2">
        <f t="shared" si="64"/>
        <v>8273.15</v>
      </c>
      <c r="AE95" s="2">
        <f t="shared" si="64"/>
        <v>5586.87</v>
      </c>
      <c r="AF95" s="2">
        <f t="shared" si="64"/>
        <v>220656.48</v>
      </c>
      <c r="AG95" s="2">
        <f t="shared" si="64"/>
        <v>0</v>
      </c>
      <c r="AH95" s="2">
        <f t="shared" si="64"/>
        <v>613.55583000000001</v>
      </c>
      <c r="AI95" s="2">
        <f t="shared" si="64"/>
        <v>0</v>
      </c>
      <c r="AJ95" s="2">
        <f t="shared" si="64"/>
        <v>0</v>
      </c>
      <c r="AK95" s="2">
        <f t="shared" si="64"/>
        <v>178682.38</v>
      </c>
      <c r="AL95" s="2">
        <f t="shared" si="64"/>
        <v>90469.16</v>
      </c>
      <c r="AM95" s="2">
        <f t="shared" si="64"/>
        <v>0</v>
      </c>
      <c r="AN95" s="2">
        <f t="shared" si="64"/>
        <v>0</v>
      </c>
      <c r="AO95" s="2">
        <f t="shared" si="64"/>
        <v>0</v>
      </c>
      <c r="AP95" s="2">
        <f t="shared" si="64"/>
        <v>0</v>
      </c>
      <c r="AQ95" s="2">
        <f t="shared" si="64"/>
        <v>0</v>
      </c>
      <c r="AR95" s="2">
        <f t="shared" si="64"/>
        <v>677226.01</v>
      </c>
      <c r="AS95" s="2">
        <f t="shared" si="64"/>
        <v>677226.01</v>
      </c>
      <c r="AT95" s="2">
        <f t="shared" si="64"/>
        <v>0</v>
      </c>
      <c r="AU95" s="2">
        <f t="shared" ref="AU95:BZ95" si="65">AU158</f>
        <v>0</v>
      </c>
      <c r="AV95" s="2">
        <f t="shared" si="65"/>
        <v>170205.85</v>
      </c>
      <c r="AW95" s="2">
        <f t="shared" si="65"/>
        <v>170205.85</v>
      </c>
      <c r="AX95" s="2">
        <f t="shared" si="65"/>
        <v>0</v>
      </c>
      <c r="AY95" s="2">
        <f t="shared" si="65"/>
        <v>170205.85</v>
      </c>
      <c r="AZ95" s="2">
        <f t="shared" si="65"/>
        <v>0</v>
      </c>
      <c r="BA95" s="2">
        <f t="shared" si="65"/>
        <v>0</v>
      </c>
      <c r="BB95" s="2">
        <f t="shared" si="65"/>
        <v>0</v>
      </c>
      <c r="BC95" s="2">
        <f t="shared" si="65"/>
        <v>0</v>
      </c>
      <c r="BD95" s="2">
        <f t="shared" si="65"/>
        <v>0</v>
      </c>
      <c r="BE95" s="2">
        <f t="shared" si="65"/>
        <v>0</v>
      </c>
      <c r="BF95" s="2">
        <f t="shared" si="65"/>
        <v>0</v>
      </c>
      <c r="BG95" s="2">
        <f t="shared" si="65"/>
        <v>0</v>
      </c>
      <c r="BH95" s="2">
        <f t="shared" si="65"/>
        <v>0</v>
      </c>
      <c r="BI95" s="2">
        <f t="shared" si="65"/>
        <v>0</v>
      </c>
      <c r="BJ95" s="2">
        <f t="shared" si="65"/>
        <v>0</v>
      </c>
      <c r="BK95" s="2">
        <f t="shared" si="65"/>
        <v>0</v>
      </c>
      <c r="BL95" s="2">
        <f t="shared" si="65"/>
        <v>0</v>
      </c>
      <c r="BM95" s="2">
        <f t="shared" si="65"/>
        <v>0</v>
      </c>
      <c r="BN95" s="2">
        <f t="shared" si="65"/>
        <v>0</v>
      </c>
      <c r="BO95" s="2">
        <f t="shared" si="65"/>
        <v>0</v>
      </c>
      <c r="BP95" s="2">
        <f t="shared" si="65"/>
        <v>0</v>
      </c>
      <c r="BQ95" s="2">
        <f t="shared" si="65"/>
        <v>0</v>
      </c>
      <c r="BR95" s="2">
        <f t="shared" si="65"/>
        <v>0</v>
      </c>
      <c r="BS95" s="2">
        <f t="shared" si="65"/>
        <v>0</v>
      </c>
      <c r="BT95" s="2">
        <f t="shared" si="65"/>
        <v>0</v>
      </c>
      <c r="BU95" s="2">
        <f t="shared" si="65"/>
        <v>0</v>
      </c>
      <c r="BV95" s="2">
        <f t="shared" si="65"/>
        <v>0</v>
      </c>
      <c r="BW95" s="2">
        <f t="shared" si="65"/>
        <v>0</v>
      </c>
      <c r="BX95" s="2">
        <f t="shared" si="65"/>
        <v>0</v>
      </c>
      <c r="BY95" s="2">
        <f t="shared" si="65"/>
        <v>0</v>
      </c>
      <c r="BZ95" s="2">
        <f t="shared" si="65"/>
        <v>0</v>
      </c>
      <c r="CA95" s="2">
        <f t="shared" ref="CA95:DF95" si="66">CA158</f>
        <v>677226.01</v>
      </c>
      <c r="CB95" s="2">
        <f t="shared" si="66"/>
        <v>677226.01</v>
      </c>
      <c r="CC95" s="2">
        <f t="shared" si="66"/>
        <v>0</v>
      </c>
      <c r="CD95" s="2">
        <f t="shared" si="66"/>
        <v>0</v>
      </c>
      <c r="CE95" s="2">
        <f t="shared" si="66"/>
        <v>170205.85</v>
      </c>
      <c r="CF95" s="2">
        <f t="shared" si="66"/>
        <v>170205.85</v>
      </c>
      <c r="CG95" s="2">
        <f t="shared" si="66"/>
        <v>0</v>
      </c>
      <c r="CH95" s="2">
        <f t="shared" si="66"/>
        <v>170205.85</v>
      </c>
      <c r="CI95" s="2">
        <f t="shared" si="66"/>
        <v>0</v>
      </c>
      <c r="CJ95" s="2">
        <f t="shared" si="66"/>
        <v>0</v>
      </c>
      <c r="CK95" s="2">
        <f t="shared" si="66"/>
        <v>0</v>
      </c>
      <c r="CL95" s="2">
        <f t="shared" si="66"/>
        <v>0</v>
      </c>
      <c r="CM95" s="2">
        <f t="shared" si="66"/>
        <v>0</v>
      </c>
      <c r="CN95" s="2">
        <f t="shared" si="66"/>
        <v>0</v>
      </c>
      <c r="CO95" s="2">
        <f t="shared" si="66"/>
        <v>0</v>
      </c>
      <c r="CP95" s="2">
        <f t="shared" si="66"/>
        <v>0</v>
      </c>
      <c r="CQ95" s="2">
        <f t="shared" si="66"/>
        <v>0</v>
      </c>
      <c r="CR95" s="2">
        <f t="shared" si="66"/>
        <v>0</v>
      </c>
      <c r="CS95" s="2">
        <f t="shared" si="66"/>
        <v>0</v>
      </c>
      <c r="CT95" s="2">
        <f t="shared" si="66"/>
        <v>0</v>
      </c>
      <c r="CU95" s="2">
        <f t="shared" si="66"/>
        <v>0</v>
      </c>
      <c r="CV95" s="2">
        <f t="shared" si="66"/>
        <v>0</v>
      </c>
      <c r="CW95" s="2">
        <f t="shared" si="66"/>
        <v>0</v>
      </c>
      <c r="CX95" s="2">
        <f t="shared" si="66"/>
        <v>0</v>
      </c>
      <c r="CY95" s="2">
        <f t="shared" si="66"/>
        <v>0</v>
      </c>
      <c r="CZ95" s="2">
        <f t="shared" si="66"/>
        <v>0</v>
      </c>
      <c r="DA95" s="2">
        <f t="shared" si="66"/>
        <v>0</v>
      </c>
      <c r="DB95" s="2">
        <f t="shared" si="66"/>
        <v>0</v>
      </c>
      <c r="DC95" s="2">
        <f t="shared" si="66"/>
        <v>0</v>
      </c>
      <c r="DD95" s="2">
        <f t="shared" si="66"/>
        <v>0</v>
      </c>
      <c r="DE95" s="2">
        <f t="shared" si="66"/>
        <v>0</v>
      </c>
      <c r="DF95" s="2">
        <f t="shared" si="66"/>
        <v>0</v>
      </c>
      <c r="DG95" s="3">
        <f t="shared" ref="DG95:EL95" si="67">DG158</f>
        <v>0</v>
      </c>
      <c r="DH95" s="3">
        <f t="shared" si="67"/>
        <v>0</v>
      </c>
      <c r="DI95" s="3">
        <f t="shared" si="67"/>
        <v>0</v>
      </c>
      <c r="DJ95" s="3">
        <f t="shared" si="67"/>
        <v>0</v>
      </c>
      <c r="DK95" s="3">
        <f t="shared" si="67"/>
        <v>0</v>
      </c>
      <c r="DL95" s="3">
        <f t="shared" si="67"/>
        <v>0</v>
      </c>
      <c r="DM95" s="3">
        <f t="shared" si="67"/>
        <v>0</v>
      </c>
      <c r="DN95" s="3">
        <f t="shared" si="67"/>
        <v>0</v>
      </c>
      <c r="DO95" s="3">
        <f t="shared" si="67"/>
        <v>0</v>
      </c>
      <c r="DP95" s="3">
        <f t="shared" si="67"/>
        <v>0</v>
      </c>
      <c r="DQ95" s="3">
        <f t="shared" si="67"/>
        <v>0</v>
      </c>
      <c r="DR95" s="3">
        <f t="shared" si="67"/>
        <v>0</v>
      </c>
      <c r="DS95" s="3">
        <f t="shared" si="67"/>
        <v>0</v>
      </c>
      <c r="DT95" s="3">
        <f t="shared" si="67"/>
        <v>0</v>
      </c>
      <c r="DU95" s="3">
        <f t="shared" si="67"/>
        <v>0</v>
      </c>
      <c r="DV95" s="3">
        <f t="shared" si="67"/>
        <v>0</v>
      </c>
      <c r="DW95" s="3">
        <f t="shared" si="67"/>
        <v>0</v>
      </c>
      <c r="DX95" s="3">
        <f t="shared" si="67"/>
        <v>0</v>
      </c>
      <c r="DY95" s="3">
        <f t="shared" si="67"/>
        <v>0</v>
      </c>
      <c r="DZ95" s="3">
        <f t="shared" si="67"/>
        <v>0</v>
      </c>
      <c r="EA95" s="3">
        <f t="shared" si="67"/>
        <v>0</v>
      </c>
      <c r="EB95" s="3">
        <f t="shared" si="67"/>
        <v>0</v>
      </c>
      <c r="EC95" s="3">
        <f t="shared" si="67"/>
        <v>0</v>
      </c>
      <c r="ED95" s="3">
        <f t="shared" si="67"/>
        <v>0</v>
      </c>
      <c r="EE95" s="3">
        <f t="shared" si="67"/>
        <v>0</v>
      </c>
      <c r="EF95" s="3">
        <f t="shared" si="67"/>
        <v>0</v>
      </c>
      <c r="EG95" s="3">
        <f t="shared" si="67"/>
        <v>0</v>
      </c>
      <c r="EH95" s="3">
        <f t="shared" si="67"/>
        <v>0</v>
      </c>
      <c r="EI95" s="3">
        <f t="shared" si="67"/>
        <v>0</v>
      </c>
      <c r="EJ95" s="3">
        <f t="shared" si="67"/>
        <v>0</v>
      </c>
      <c r="EK95" s="3">
        <f t="shared" si="67"/>
        <v>0</v>
      </c>
      <c r="EL95" s="3">
        <f t="shared" si="67"/>
        <v>0</v>
      </c>
      <c r="EM95" s="3">
        <f t="shared" ref="EM95:FR95" si="68">EM158</f>
        <v>0</v>
      </c>
      <c r="EN95" s="3">
        <f t="shared" si="68"/>
        <v>0</v>
      </c>
      <c r="EO95" s="3">
        <f t="shared" si="68"/>
        <v>0</v>
      </c>
      <c r="EP95" s="3">
        <f t="shared" si="68"/>
        <v>0</v>
      </c>
      <c r="EQ95" s="3">
        <f t="shared" si="68"/>
        <v>0</v>
      </c>
      <c r="ER95" s="3">
        <f t="shared" si="68"/>
        <v>0</v>
      </c>
      <c r="ES95" s="3">
        <f t="shared" si="68"/>
        <v>0</v>
      </c>
      <c r="ET95" s="3">
        <f t="shared" si="68"/>
        <v>0</v>
      </c>
      <c r="EU95" s="3">
        <f t="shared" si="68"/>
        <v>0</v>
      </c>
      <c r="EV95" s="3">
        <f t="shared" si="68"/>
        <v>0</v>
      </c>
      <c r="EW95" s="3">
        <f t="shared" si="68"/>
        <v>0</v>
      </c>
      <c r="EX95" s="3">
        <f t="shared" si="68"/>
        <v>0</v>
      </c>
      <c r="EY95" s="3">
        <f t="shared" si="68"/>
        <v>0</v>
      </c>
      <c r="EZ95" s="3">
        <f t="shared" si="68"/>
        <v>0</v>
      </c>
      <c r="FA95" s="3">
        <f t="shared" si="68"/>
        <v>0</v>
      </c>
      <c r="FB95" s="3">
        <f t="shared" si="68"/>
        <v>0</v>
      </c>
      <c r="FC95" s="3">
        <f t="shared" si="68"/>
        <v>0</v>
      </c>
      <c r="FD95" s="3">
        <f t="shared" si="68"/>
        <v>0</v>
      </c>
      <c r="FE95" s="3">
        <f t="shared" si="68"/>
        <v>0</v>
      </c>
      <c r="FF95" s="3">
        <f t="shared" si="68"/>
        <v>0</v>
      </c>
      <c r="FG95" s="3">
        <f t="shared" si="68"/>
        <v>0</v>
      </c>
      <c r="FH95" s="3">
        <f t="shared" si="68"/>
        <v>0</v>
      </c>
      <c r="FI95" s="3">
        <f t="shared" si="68"/>
        <v>0</v>
      </c>
      <c r="FJ95" s="3">
        <f t="shared" si="68"/>
        <v>0</v>
      </c>
      <c r="FK95" s="3">
        <f t="shared" si="68"/>
        <v>0</v>
      </c>
      <c r="FL95" s="3">
        <f t="shared" si="68"/>
        <v>0</v>
      </c>
      <c r="FM95" s="3">
        <f t="shared" si="68"/>
        <v>0</v>
      </c>
      <c r="FN95" s="3">
        <f t="shared" si="68"/>
        <v>0</v>
      </c>
      <c r="FO95" s="3">
        <f t="shared" si="68"/>
        <v>0</v>
      </c>
      <c r="FP95" s="3">
        <f t="shared" si="68"/>
        <v>0</v>
      </c>
      <c r="FQ95" s="3">
        <f t="shared" si="68"/>
        <v>0</v>
      </c>
      <c r="FR95" s="3">
        <f t="shared" si="68"/>
        <v>0</v>
      </c>
      <c r="FS95" s="3">
        <f t="shared" ref="FS95:GX95" si="69">FS158</f>
        <v>0</v>
      </c>
      <c r="FT95" s="3">
        <f t="shared" si="69"/>
        <v>0</v>
      </c>
      <c r="FU95" s="3">
        <f t="shared" si="69"/>
        <v>0</v>
      </c>
      <c r="FV95" s="3">
        <f t="shared" si="69"/>
        <v>0</v>
      </c>
      <c r="FW95" s="3">
        <f t="shared" si="69"/>
        <v>0</v>
      </c>
      <c r="FX95" s="3">
        <f t="shared" si="69"/>
        <v>0</v>
      </c>
      <c r="FY95" s="3">
        <f t="shared" si="69"/>
        <v>0</v>
      </c>
      <c r="FZ95" s="3">
        <f t="shared" si="69"/>
        <v>0</v>
      </c>
      <c r="GA95" s="3">
        <f t="shared" si="69"/>
        <v>0</v>
      </c>
      <c r="GB95" s="3">
        <f t="shared" si="69"/>
        <v>0</v>
      </c>
      <c r="GC95" s="3">
        <f t="shared" si="69"/>
        <v>0</v>
      </c>
      <c r="GD95" s="3">
        <f t="shared" si="69"/>
        <v>0</v>
      </c>
      <c r="GE95" s="3">
        <f t="shared" si="69"/>
        <v>0</v>
      </c>
      <c r="GF95" s="3">
        <f t="shared" si="69"/>
        <v>0</v>
      </c>
      <c r="GG95" s="3">
        <f t="shared" si="69"/>
        <v>0</v>
      </c>
      <c r="GH95" s="3">
        <f t="shared" si="69"/>
        <v>0</v>
      </c>
      <c r="GI95" s="3">
        <f t="shared" si="69"/>
        <v>0</v>
      </c>
      <c r="GJ95" s="3">
        <f t="shared" si="69"/>
        <v>0</v>
      </c>
      <c r="GK95" s="3">
        <f t="shared" si="69"/>
        <v>0</v>
      </c>
      <c r="GL95" s="3">
        <f t="shared" si="69"/>
        <v>0</v>
      </c>
      <c r="GM95" s="3">
        <f t="shared" si="69"/>
        <v>0</v>
      </c>
      <c r="GN95" s="3">
        <f t="shared" si="69"/>
        <v>0</v>
      </c>
      <c r="GO95" s="3">
        <f t="shared" si="69"/>
        <v>0</v>
      </c>
      <c r="GP95" s="3">
        <f t="shared" si="69"/>
        <v>0</v>
      </c>
      <c r="GQ95" s="3">
        <f t="shared" si="69"/>
        <v>0</v>
      </c>
      <c r="GR95" s="3">
        <f t="shared" si="69"/>
        <v>0</v>
      </c>
      <c r="GS95" s="3">
        <f t="shared" si="69"/>
        <v>0</v>
      </c>
      <c r="GT95" s="3">
        <f t="shared" si="69"/>
        <v>0</v>
      </c>
      <c r="GU95" s="3">
        <f t="shared" si="69"/>
        <v>0</v>
      </c>
      <c r="GV95" s="3">
        <f t="shared" si="69"/>
        <v>0</v>
      </c>
      <c r="GW95" s="3">
        <f t="shared" si="69"/>
        <v>0</v>
      </c>
      <c r="GX95" s="3">
        <f t="shared" si="69"/>
        <v>0</v>
      </c>
    </row>
    <row r="97" spans="1:245" x14ac:dyDescent="0.2">
      <c r="A97">
        <v>19</v>
      </c>
      <c r="B97">
        <v>1</v>
      </c>
      <c r="F97" t="s">
        <v>3</v>
      </c>
      <c r="G97" t="s">
        <v>16</v>
      </c>
      <c r="H97" t="s">
        <v>3</v>
      </c>
      <c r="AA97">
        <v>1</v>
      </c>
      <c r="IK97">
        <v>0</v>
      </c>
    </row>
    <row r="98" spans="1:245" x14ac:dyDescent="0.2">
      <c r="A98">
        <v>17</v>
      </c>
      <c r="B98">
        <v>1</v>
      </c>
      <c r="D98">
        <f>ROW(EtalonRes!A107)</f>
        <v>107</v>
      </c>
      <c r="E98" t="s">
        <v>213</v>
      </c>
      <c r="F98" t="s">
        <v>214</v>
      </c>
      <c r="G98" t="s">
        <v>215</v>
      </c>
      <c r="H98" t="s">
        <v>216</v>
      </c>
      <c r="I98">
        <f>ROUND(75/100,9)</f>
        <v>0.75</v>
      </c>
      <c r="J98">
        <v>0</v>
      </c>
      <c r="K98">
        <f>ROUND(75/100,9)</f>
        <v>0.75</v>
      </c>
      <c r="O98">
        <f t="shared" ref="O98:O103" si="70">ROUND(CP98,2)</f>
        <v>10587.37</v>
      </c>
      <c r="P98">
        <f t="shared" ref="P98:P103" si="71">ROUND((ROUND((AC98*AW98*I98),2)*BC98),2)</f>
        <v>0</v>
      </c>
      <c r="Q98">
        <f>(ROUND((ROUND(((ET98)*AV98*I98),2)*BB98),2)+ROUND((ROUND(((AE98-(EU98))*AV98*I98),2)*BS98),2))</f>
        <v>0</v>
      </c>
      <c r="R98">
        <f t="shared" ref="R98:R103" si="72">ROUND((ROUND((AE98*AV98*I98),2)*BS98),2)</f>
        <v>0</v>
      </c>
      <c r="S98">
        <f t="shared" ref="S98:S103" si="73">ROUND((ROUND((AF98*AV98*I98),2)*BA98),2)</f>
        <v>10587.37</v>
      </c>
      <c r="T98">
        <f t="shared" ref="T98:T103" si="74">ROUND(CU98*I98,2)</f>
        <v>0</v>
      </c>
      <c r="U98">
        <f t="shared" ref="U98:U103" si="75">CV98*I98</f>
        <v>33.435000000000002</v>
      </c>
      <c r="V98">
        <f t="shared" ref="V98:V103" si="76">CW98*I98</f>
        <v>0</v>
      </c>
      <c r="W98">
        <f t="shared" ref="W98:W103" si="77">ROUND(CX98*I98,2)</f>
        <v>0</v>
      </c>
      <c r="X98">
        <f t="shared" ref="X98:Y103" si="78">ROUND(CY98,2)</f>
        <v>7411.16</v>
      </c>
      <c r="Y98">
        <f t="shared" si="78"/>
        <v>4340.82</v>
      </c>
      <c r="AA98">
        <v>53860087</v>
      </c>
      <c r="AB98">
        <f t="shared" ref="AB98:AB103" si="79">ROUND((AC98+AD98+AF98),6)</f>
        <v>468.98399999999998</v>
      </c>
      <c r="AC98">
        <f>ROUND((ES98),6)</f>
        <v>0</v>
      </c>
      <c r="AD98">
        <f>ROUND((((ET98)-(EU98))+AE98),6)</f>
        <v>0</v>
      </c>
      <c r="AE98">
        <f>ROUND((EU98),6)</f>
        <v>0</v>
      </c>
      <c r="AF98">
        <f>ROUND(((EV98*0.6)),6)</f>
        <v>468.98399999999998</v>
      </c>
      <c r="AG98">
        <f t="shared" ref="AG98:AG103" si="80">ROUND((AP98),6)</f>
        <v>0</v>
      </c>
      <c r="AH98">
        <f>((EW98*0.6))</f>
        <v>44.58</v>
      </c>
      <c r="AI98">
        <f>(EX98)</f>
        <v>0</v>
      </c>
      <c r="AJ98">
        <f t="shared" ref="AJ98:AJ103" si="81">(AS98)</f>
        <v>0</v>
      </c>
      <c r="AK98">
        <v>781.64</v>
      </c>
      <c r="AL98">
        <v>0</v>
      </c>
      <c r="AM98">
        <v>0</v>
      </c>
      <c r="AN98">
        <v>0</v>
      </c>
      <c r="AO98">
        <v>781.64</v>
      </c>
      <c r="AP98">
        <v>0</v>
      </c>
      <c r="AQ98">
        <v>74.3</v>
      </c>
      <c r="AR98">
        <v>0</v>
      </c>
      <c r="AS98">
        <v>0</v>
      </c>
      <c r="AT98">
        <v>70</v>
      </c>
      <c r="AU98">
        <v>41</v>
      </c>
      <c r="AV98">
        <v>1</v>
      </c>
      <c r="AW98">
        <v>1</v>
      </c>
      <c r="AZ98">
        <v>1</v>
      </c>
      <c r="BA98">
        <v>30.1</v>
      </c>
      <c r="BB98">
        <v>1</v>
      </c>
      <c r="BC98">
        <v>1</v>
      </c>
      <c r="BD98" t="s">
        <v>3</v>
      </c>
      <c r="BE98" t="s">
        <v>3</v>
      </c>
      <c r="BF98" t="s">
        <v>3</v>
      </c>
      <c r="BG98" t="s">
        <v>3</v>
      </c>
      <c r="BH98">
        <v>0</v>
      </c>
      <c r="BI98">
        <v>1</v>
      </c>
      <c r="BJ98" t="s">
        <v>217</v>
      </c>
      <c r="BM98">
        <v>483</v>
      </c>
      <c r="BN98">
        <v>36862081</v>
      </c>
      <c r="BO98" t="s">
        <v>214</v>
      </c>
      <c r="BP98">
        <v>1</v>
      </c>
      <c r="BQ98">
        <v>60</v>
      </c>
      <c r="BR98">
        <v>0</v>
      </c>
      <c r="BS98">
        <v>30.1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70</v>
      </c>
      <c r="CA98">
        <v>41</v>
      </c>
      <c r="CB98" t="s">
        <v>3</v>
      </c>
      <c r="CE98">
        <v>30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ref="CP98:CP103" si="82">(P98+Q98+S98)</f>
        <v>10587.37</v>
      </c>
      <c r="CQ98">
        <f t="shared" ref="CQ98:CQ103" si="83">ROUND((ROUND((AC98*AW98*1),2)*BC98),2)</f>
        <v>0</v>
      </c>
      <c r="CR98">
        <f>(ROUND((ROUND(((ET98)*AV98*1),2)*BB98),2)+ROUND((ROUND(((AE98-(EU98))*AV98*1),2)*BS98),2))</f>
        <v>0</v>
      </c>
      <c r="CS98">
        <f t="shared" ref="CS98:CS103" si="84">ROUND((ROUND((AE98*AV98*1),2)*BS98),2)</f>
        <v>0</v>
      </c>
      <c r="CT98">
        <f t="shared" ref="CT98:CT103" si="85">ROUND((ROUND((AF98*AV98*1),2)*BA98),2)</f>
        <v>14116.3</v>
      </c>
      <c r="CU98">
        <f t="shared" ref="CU98:CU103" si="86">AG98</f>
        <v>0</v>
      </c>
      <c r="CV98">
        <f t="shared" ref="CV98:CV103" si="87">(AH98*AV98)</f>
        <v>44.58</v>
      </c>
      <c r="CW98">
        <f t="shared" ref="CW98:CX103" si="88">AI98</f>
        <v>0</v>
      </c>
      <c r="CX98">
        <f t="shared" si="88"/>
        <v>0</v>
      </c>
      <c r="CY98">
        <f t="shared" ref="CY98:CY103" si="89">S98*(BZ98/100)</f>
        <v>7411.1589999999997</v>
      </c>
      <c r="CZ98">
        <f t="shared" ref="CZ98:CZ103" si="90">S98*(CA98/100)</f>
        <v>4340.8217000000004</v>
      </c>
      <c r="DC98" t="s">
        <v>3</v>
      </c>
      <c r="DD98" t="s">
        <v>3</v>
      </c>
      <c r="DE98" t="s">
        <v>3</v>
      </c>
      <c r="DF98" t="s">
        <v>3</v>
      </c>
      <c r="DG98" t="s">
        <v>218</v>
      </c>
      <c r="DH98" t="s">
        <v>3</v>
      </c>
      <c r="DI98" t="s">
        <v>218</v>
      </c>
      <c r="DJ98" t="s">
        <v>3</v>
      </c>
      <c r="DK98" t="s">
        <v>3</v>
      </c>
      <c r="DL98" t="s">
        <v>3</v>
      </c>
      <c r="DM98" t="s">
        <v>3</v>
      </c>
      <c r="DN98">
        <v>80</v>
      </c>
      <c r="DO98">
        <v>55</v>
      </c>
      <c r="DP98">
        <v>1</v>
      </c>
      <c r="DQ98">
        <v>1</v>
      </c>
      <c r="DU98">
        <v>1013</v>
      </c>
      <c r="DV98" t="s">
        <v>216</v>
      </c>
      <c r="DW98" t="s">
        <v>216</v>
      </c>
      <c r="DX98">
        <v>1</v>
      </c>
      <c r="DZ98" t="s">
        <v>3</v>
      </c>
      <c r="EA98" t="s">
        <v>3</v>
      </c>
      <c r="EB98" t="s">
        <v>3</v>
      </c>
      <c r="EC98" t="s">
        <v>3</v>
      </c>
      <c r="EE98">
        <v>53213232</v>
      </c>
      <c r="EF98">
        <v>60</v>
      </c>
      <c r="EG98" t="s">
        <v>22</v>
      </c>
      <c r="EH98">
        <v>0</v>
      </c>
      <c r="EI98" t="s">
        <v>3</v>
      </c>
      <c r="EJ98">
        <v>1</v>
      </c>
      <c r="EK98">
        <v>483</v>
      </c>
      <c r="EL98" t="s">
        <v>219</v>
      </c>
      <c r="EM98" t="s">
        <v>220</v>
      </c>
      <c r="EO98" t="s">
        <v>3</v>
      </c>
      <c r="EQ98">
        <v>131072</v>
      </c>
      <c r="ER98">
        <v>781.64</v>
      </c>
      <c r="ES98">
        <v>0</v>
      </c>
      <c r="ET98">
        <v>0</v>
      </c>
      <c r="EU98">
        <v>0</v>
      </c>
      <c r="EV98">
        <v>781.64</v>
      </c>
      <c r="EW98">
        <v>74.3</v>
      </c>
      <c r="EX98">
        <v>0</v>
      </c>
      <c r="EY98">
        <v>0</v>
      </c>
      <c r="FQ98">
        <v>0</v>
      </c>
      <c r="FR98">
        <f t="shared" ref="FR98:FR103" si="91">ROUND(IF(BI98=3,GM98,0),2)</f>
        <v>0</v>
      </c>
      <c r="FS98">
        <v>0</v>
      </c>
      <c r="FX98">
        <v>80</v>
      </c>
      <c r="FY98">
        <v>55</v>
      </c>
      <c r="GA98" t="s">
        <v>3</v>
      </c>
      <c r="GD98">
        <v>0</v>
      </c>
      <c r="GF98">
        <v>-1637290248</v>
      </c>
      <c r="GG98">
        <v>2</v>
      </c>
      <c r="GH98">
        <v>1</v>
      </c>
      <c r="GI98">
        <v>2</v>
      </c>
      <c r="GJ98">
        <v>0</v>
      </c>
      <c r="GK98">
        <f>ROUND(R98*(R12)/100,2)</f>
        <v>0</v>
      </c>
      <c r="GL98">
        <f t="shared" ref="GL98:GL103" si="92">ROUND(IF(AND(BH98=3,BI98=3,FS98&lt;&gt;0),P98,0),2)</f>
        <v>0</v>
      </c>
      <c r="GM98">
        <f t="shared" ref="GM98:GM103" si="93">ROUND(O98+X98+Y98+GK98,2)+GX98</f>
        <v>22339.35</v>
      </c>
      <c r="GN98">
        <f t="shared" ref="GN98:GN103" si="94">IF(OR(BI98=0,BI98=1),GM98,0)</f>
        <v>22339.35</v>
      </c>
      <c r="GO98">
        <f t="shared" ref="GO98:GO103" si="95">IF(BI98=2,GM98,0)</f>
        <v>0</v>
      </c>
      <c r="GP98">
        <f t="shared" ref="GP98:GP103" si="96">IF(BI98=4,GM98+GX98,0)</f>
        <v>0</v>
      </c>
      <c r="GR98">
        <v>0</v>
      </c>
      <c r="GS98">
        <v>3</v>
      </c>
      <c r="GT98">
        <v>0</v>
      </c>
      <c r="GU98" t="s">
        <v>3</v>
      </c>
      <c r="GV98">
        <f t="shared" ref="GV98:GV103" si="97">ROUND((GT98),6)</f>
        <v>0</v>
      </c>
      <c r="GW98">
        <v>1</v>
      </c>
      <c r="GX98">
        <f t="shared" ref="GX98:GX103" si="98">ROUND(HC98*I98,2)</f>
        <v>0</v>
      </c>
      <c r="HA98">
        <v>0</v>
      </c>
      <c r="HB98">
        <v>0</v>
      </c>
      <c r="HC98">
        <f t="shared" ref="HC98:HC103" si="99">GV98*GW98</f>
        <v>0</v>
      </c>
      <c r="HE98" t="s">
        <v>3</v>
      </c>
      <c r="HF98" t="s">
        <v>3</v>
      </c>
      <c r="HM98" t="s">
        <v>3</v>
      </c>
      <c r="HN98" t="s">
        <v>3</v>
      </c>
      <c r="HO98" t="s">
        <v>3</v>
      </c>
      <c r="HP98" t="s">
        <v>3</v>
      </c>
      <c r="HQ98" t="s">
        <v>3</v>
      </c>
      <c r="IK98">
        <v>0</v>
      </c>
    </row>
    <row r="99" spans="1:245" x14ac:dyDescent="0.2">
      <c r="A99">
        <v>17</v>
      </c>
      <c r="B99">
        <v>1</v>
      </c>
      <c r="C99">
        <f>ROW(SmtRes!A79)</f>
        <v>79</v>
      </c>
      <c r="D99">
        <f>ROW(EtalonRes!A109)</f>
        <v>109</v>
      </c>
      <c r="E99" t="s">
        <v>221</v>
      </c>
      <c r="F99" t="s">
        <v>222</v>
      </c>
      <c r="G99" t="s">
        <v>223</v>
      </c>
      <c r="H99" t="s">
        <v>28</v>
      </c>
      <c r="I99">
        <f>ROUND((75+15)/100,9)</f>
        <v>0.9</v>
      </c>
      <c r="J99">
        <v>0</v>
      </c>
      <c r="K99">
        <f>ROUND((75+15)/100,9)</f>
        <v>0.9</v>
      </c>
      <c r="O99">
        <f t="shared" si="70"/>
        <v>13593.76</v>
      </c>
      <c r="P99">
        <f t="shared" si="71"/>
        <v>0</v>
      </c>
      <c r="Q99">
        <f>(ROUND((ROUND(((ET99)*AV99*I99),2)*BB99),2)+ROUND((ROUND(((AE99-(EU99))*AV99*I99),2)*BS99),2))</f>
        <v>0</v>
      </c>
      <c r="R99">
        <f t="shared" si="72"/>
        <v>0</v>
      </c>
      <c r="S99">
        <f t="shared" si="73"/>
        <v>13593.76</v>
      </c>
      <c r="T99">
        <f t="shared" si="74"/>
        <v>0</v>
      </c>
      <c r="U99">
        <f t="shared" si="75"/>
        <v>44.190000000000005</v>
      </c>
      <c r="V99">
        <f t="shared" si="76"/>
        <v>0</v>
      </c>
      <c r="W99">
        <f t="shared" si="77"/>
        <v>0</v>
      </c>
      <c r="X99">
        <f t="shared" si="78"/>
        <v>9515.6299999999992</v>
      </c>
      <c r="Y99">
        <f t="shared" si="78"/>
        <v>5573.44</v>
      </c>
      <c r="AA99">
        <v>53860087</v>
      </c>
      <c r="AB99">
        <f t="shared" si="79"/>
        <v>501.8</v>
      </c>
      <c r="AC99">
        <f>ROUND((ES99),6)</f>
        <v>0</v>
      </c>
      <c r="AD99">
        <f>ROUND((((ET99)-(EU99))+AE99),6)</f>
        <v>0</v>
      </c>
      <c r="AE99">
        <f>ROUND((EU99),6)</f>
        <v>0</v>
      </c>
      <c r="AF99">
        <f>ROUND((EV99),6)</f>
        <v>501.8</v>
      </c>
      <c r="AG99">
        <f t="shared" si="80"/>
        <v>0</v>
      </c>
      <c r="AH99">
        <f>(EW99)</f>
        <v>49.1</v>
      </c>
      <c r="AI99">
        <f>(EX99)</f>
        <v>0</v>
      </c>
      <c r="AJ99">
        <f t="shared" si="81"/>
        <v>0</v>
      </c>
      <c r="AK99">
        <v>501.8</v>
      </c>
      <c r="AL99">
        <v>0</v>
      </c>
      <c r="AM99">
        <v>0</v>
      </c>
      <c r="AN99">
        <v>0</v>
      </c>
      <c r="AO99">
        <v>501.8</v>
      </c>
      <c r="AP99">
        <v>0</v>
      </c>
      <c r="AQ99">
        <v>49.1</v>
      </c>
      <c r="AR99">
        <v>0</v>
      </c>
      <c r="AS99">
        <v>0</v>
      </c>
      <c r="AT99">
        <v>70</v>
      </c>
      <c r="AU99">
        <v>41</v>
      </c>
      <c r="AV99">
        <v>1</v>
      </c>
      <c r="AW99">
        <v>1</v>
      </c>
      <c r="AZ99">
        <v>1</v>
      </c>
      <c r="BA99">
        <v>30.1</v>
      </c>
      <c r="BB99">
        <v>1</v>
      </c>
      <c r="BC99">
        <v>1</v>
      </c>
      <c r="BD99" t="s">
        <v>3</v>
      </c>
      <c r="BE99" t="s">
        <v>3</v>
      </c>
      <c r="BF99" t="s">
        <v>3</v>
      </c>
      <c r="BG99" t="s">
        <v>3</v>
      </c>
      <c r="BH99">
        <v>0</v>
      </c>
      <c r="BI99">
        <v>1</v>
      </c>
      <c r="BJ99" t="s">
        <v>224</v>
      </c>
      <c r="BM99">
        <v>456</v>
      </c>
      <c r="BN99">
        <v>36862081</v>
      </c>
      <c r="BO99" t="s">
        <v>222</v>
      </c>
      <c r="BP99">
        <v>1</v>
      </c>
      <c r="BQ99">
        <v>60</v>
      </c>
      <c r="BR99">
        <v>0</v>
      </c>
      <c r="BS99">
        <v>30.1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70</v>
      </c>
      <c r="CA99">
        <v>41</v>
      </c>
      <c r="CB99" t="s">
        <v>3</v>
      </c>
      <c r="CE99">
        <v>30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82"/>
        <v>13593.76</v>
      </c>
      <c r="CQ99">
        <f t="shared" si="83"/>
        <v>0</v>
      </c>
      <c r="CR99">
        <f>(ROUND((ROUND(((ET99)*AV99*1),2)*BB99),2)+ROUND((ROUND(((AE99-(EU99))*AV99*1),2)*BS99),2))</f>
        <v>0</v>
      </c>
      <c r="CS99">
        <f t="shared" si="84"/>
        <v>0</v>
      </c>
      <c r="CT99">
        <f t="shared" si="85"/>
        <v>15104.18</v>
      </c>
      <c r="CU99">
        <f t="shared" si="86"/>
        <v>0</v>
      </c>
      <c r="CV99">
        <f t="shared" si="87"/>
        <v>49.1</v>
      </c>
      <c r="CW99">
        <f t="shared" si="88"/>
        <v>0</v>
      </c>
      <c r="CX99">
        <f t="shared" si="88"/>
        <v>0</v>
      </c>
      <c r="CY99">
        <f t="shared" si="89"/>
        <v>9515.6319999999996</v>
      </c>
      <c r="CZ99">
        <f t="shared" si="90"/>
        <v>5573.4416000000001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80</v>
      </c>
      <c r="DO99">
        <v>55</v>
      </c>
      <c r="DP99">
        <v>1</v>
      </c>
      <c r="DQ99">
        <v>1</v>
      </c>
      <c r="DU99">
        <v>1005</v>
      </c>
      <c r="DV99" t="s">
        <v>28</v>
      </c>
      <c r="DW99" t="s">
        <v>28</v>
      </c>
      <c r="DX99">
        <v>100</v>
      </c>
      <c r="DZ99" t="s">
        <v>3</v>
      </c>
      <c r="EA99" t="s">
        <v>3</v>
      </c>
      <c r="EB99" t="s">
        <v>3</v>
      </c>
      <c r="EC99" t="s">
        <v>3</v>
      </c>
      <c r="EE99">
        <v>53213205</v>
      </c>
      <c r="EF99">
        <v>60</v>
      </c>
      <c r="EG99" t="s">
        <v>22</v>
      </c>
      <c r="EH99">
        <v>0</v>
      </c>
      <c r="EI99" t="s">
        <v>3</v>
      </c>
      <c r="EJ99">
        <v>1</v>
      </c>
      <c r="EK99">
        <v>456</v>
      </c>
      <c r="EL99" t="s">
        <v>225</v>
      </c>
      <c r="EM99" t="s">
        <v>226</v>
      </c>
      <c r="EO99" t="s">
        <v>3</v>
      </c>
      <c r="EQ99">
        <v>131072</v>
      </c>
      <c r="ER99">
        <v>501.8</v>
      </c>
      <c r="ES99">
        <v>0</v>
      </c>
      <c r="ET99">
        <v>0</v>
      </c>
      <c r="EU99">
        <v>0</v>
      </c>
      <c r="EV99">
        <v>501.8</v>
      </c>
      <c r="EW99">
        <v>49.1</v>
      </c>
      <c r="EX99">
        <v>0</v>
      </c>
      <c r="EY99">
        <v>0</v>
      </c>
      <c r="FQ99">
        <v>0</v>
      </c>
      <c r="FR99">
        <f t="shared" si="91"/>
        <v>0</v>
      </c>
      <c r="FS99">
        <v>0</v>
      </c>
      <c r="FX99">
        <v>80</v>
      </c>
      <c r="FY99">
        <v>55</v>
      </c>
      <c r="GA99" t="s">
        <v>3</v>
      </c>
      <c r="GD99">
        <v>0</v>
      </c>
      <c r="GF99">
        <v>483561065</v>
      </c>
      <c r="GG99">
        <v>2</v>
      </c>
      <c r="GH99">
        <v>1</v>
      </c>
      <c r="GI99">
        <v>2</v>
      </c>
      <c r="GJ99">
        <v>0</v>
      </c>
      <c r="GK99">
        <f>ROUND(R99*(R12)/100,2)</f>
        <v>0</v>
      </c>
      <c r="GL99">
        <f t="shared" si="92"/>
        <v>0</v>
      </c>
      <c r="GM99">
        <f t="shared" si="93"/>
        <v>28682.83</v>
      </c>
      <c r="GN99">
        <f t="shared" si="94"/>
        <v>28682.83</v>
      </c>
      <c r="GO99">
        <f t="shared" si="95"/>
        <v>0</v>
      </c>
      <c r="GP99">
        <f t="shared" si="96"/>
        <v>0</v>
      </c>
      <c r="GR99">
        <v>0</v>
      </c>
      <c r="GS99">
        <v>3</v>
      </c>
      <c r="GT99">
        <v>0</v>
      </c>
      <c r="GU99" t="s">
        <v>3</v>
      </c>
      <c r="GV99">
        <f t="shared" si="97"/>
        <v>0</v>
      </c>
      <c r="GW99">
        <v>1</v>
      </c>
      <c r="GX99">
        <f t="shared" si="98"/>
        <v>0</v>
      </c>
      <c r="HA99">
        <v>0</v>
      </c>
      <c r="HB99">
        <v>0</v>
      </c>
      <c r="HC99">
        <f t="shared" si="99"/>
        <v>0</v>
      </c>
      <c r="HE99" t="s">
        <v>3</v>
      </c>
      <c r="HF99" t="s">
        <v>3</v>
      </c>
      <c r="HM99" t="s">
        <v>3</v>
      </c>
      <c r="HN99" t="s">
        <v>3</v>
      </c>
      <c r="HO99" t="s">
        <v>3</v>
      </c>
      <c r="HP99" t="s">
        <v>3</v>
      </c>
      <c r="HQ99" t="s">
        <v>3</v>
      </c>
      <c r="IK99">
        <v>0</v>
      </c>
    </row>
    <row r="100" spans="1:245" x14ac:dyDescent="0.2">
      <c r="A100">
        <v>17</v>
      </c>
      <c r="B100">
        <v>1</v>
      </c>
      <c r="C100">
        <f>ROW(SmtRes!A81)</f>
        <v>81</v>
      </c>
      <c r="D100">
        <f>ROW(EtalonRes!A111)</f>
        <v>111</v>
      </c>
      <c r="E100" t="s">
        <v>227</v>
      </c>
      <c r="F100" t="s">
        <v>228</v>
      </c>
      <c r="G100" t="s">
        <v>229</v>
      </c>
      <c r="H100" t="s">
        <v>230</v>
      </c>
      <c r="I100">
        <f>ROUND(55/100,9)</f>
        <v>0.55000000000000004</v>
      </c>
      <c r="J100">
        <v>0</v>
      </c>
      <c r="K100">
        <f>ROUND(55/100,9)</f>
        <v>0.55000000000000004</v>
      </c>
      <c r="O100">
        <f t="shared" si="70"/>
        <v>1979.38</v>
      </c>
      <c r="P100">
        <f t="shared" si="71"/>
        <v>0</v>
      </c>
      <c r="Q100">
        <f>(ROUND((ROUND(((ET100)*AV100*I100),2)*BB100),2)+ROUND((ROUND(((AE100-(EU100))*AV100*I100),2)*BS100),2))</f>
        <v>0</v>
      </c>
      <c r="R100">
        <f t="shared" si="72"/>
        <v>0</v>
      </c>
      <c r="S100">
        <f t="shared" si="73"/>
        <v>1979.38</v>
      </c>
      <c r="T100">
        <f t="shared" si="74"/>
        <v>0</v>
      </c>
      <c r="U100">
        <f t="shared" si="75"/>
        <v>6.4350000000000005</v>
      </c>
      <c r="V100">
        <f t="shared" si="76"/>
        <v>0</v>
      </c>
      <c r="W100">
        <f t="shared" si="77"/>
        <v>0</v>
      </c>
      <c r="X100">
        <f t="shared" si="78"/>
        <v>1642.89</v>
      </c>
      <c r="Y100">
        <f t="shared" si="78"/>
        <v>811.55</v>
      </c>
      <c r="AA100">
        <v>53860087</v>
      </c>
      <c r="AB100">
        <f t="shared" si="79"/>
        <v>119.57</v>
      </c>
      <c r="AC100">
        <f>ROUND((ES100),6)</f>
        <v>0</v>
      </c>
      <c r="AD100">
        <f>ROUND((((ET100)-(EU100))+AE100),6)</f>
        <v>0</v>
      </c>
      <c r="AE100">
        <f>ROUND((EU100),6)</f>
        <v>0</v>
      </c>
      <c r="AF100">
        <f>ROUND((EV100),6)</f>
        <v>119.57</v>
      </c>
      <c r="AG100">
        <f t="shared" si="80"/>
        <v>0</v>
      </c>
      <c r="AH100">
        <f>(EW100)</f>
        <v>11.7</v>
      </c>
      <c r="AI100">
        <f>(EX100)</f>
        <v>0</v>
      </c>
      <c r="AJ100">
        <f t="shared" si="81"/>
        <v>0</v>
      </c>
      <c r="AK100">
        <v>119.57</v>
      </c>
      <c r="AL100">
        <v>0</v>
      </c>
      <c r="AM100">
        <v>0</v>
      </c>
      <c r="AN100">
        <v>0</v>
      </c>
      <c r="AO100">
        <v>119.57</v>
      </c>
      <c r="AP100">
        <v>0</v>
      </c>
      <c r="AQ100">
        <v>11.7</v>
      </c>
      <c r="AR100">
        <v>0</v>
      </c>
      <c r="AS100">
        <v>0</v>
      </c>
      <c r="AT100">
        <v>83</v>
      </c>
      <c r="AU100">
        <v>41</v>
      </c>
      <c r="AV100">
        <v>1</v>
      </c>
      <c r="AW100">
        <v>1</v>
      </c>
      <c r="AZ100">
        <v>1</v>
      </c>
      <c r="BA100">
        <v>30.1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1</v>
      </c>
      <c r="BJ100" t="s">
        <v>231</v>
      </c>
      <c r="BM100">
        <v>482</v>
      </c>
      <c r="BN100">
        <v>36862081</v>
      </c>
      <c r="BO100" t="s">
        <v>228</v>
      </c>
      <c r="BP100">
        <v>1</v>
      </c>
      <c r="BQ100">
        <v>60</v>
      </c>
      <c r="BR100">
        <v>0</v>
      </c>
      <c r="BS100">
        <v>30.1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83</v>
      </c>
      <c r="CA100">
        <v>41</v>
      </c>
      <c r="CB100" t="s">
        <v>3</v>
      </c>
      <c r="CE100">
        <v>30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82"/>
        <v>1979.38</v>
      </c>
      <c r="CQ100">
        <f t="shared" si="83"/>
        <v>0</v>
      </c>
      <c r="CR100">
        <f>(ROUND((ROUND(((ET100)*AV100*1),2)*BB100),2)+ROUND((ROUND(((AE100-(EU100))*AV100*1),2)*BS100),2))</f>
        <v>0</v>
      </c>
      <c r="CS100">
        <f t="shared" si="84"/>
        <v>0</v>
      </c>
      <c r="CT100">
        <f t="shared" si="85"/>
        <v>3599.06</v>
      </c>
      <c r="CU100">
        <f t="shared" si="86"/>
        <v>0</v>
      </c>
      <c r="CV100">
        <f t="shared" si="87"/>
        <v>11.7</v>
      </c>
      <c r="CW100">
        <f t="shared" si="88"/>
        <v>0</v>
      </c>
      <c r="CX100">
        <f t="shared" si="88"/>
        <v>0</v>
      </c>
      <c r="CY100">
        <f t="shared" si="89"/>
        <v>1642.8854000000001</v>
      </c>
      <c r="CZ100">
        <f t="shared" si="90"/>
        <v>811.54579999999999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100</v>
      </c>
      <c r="DO100">
        <v>64</v>
      </c>
      <c r="DP100">
        <v>1</v>
      </c>
      <c r="DQ100">
        <v>1</v>
      </c>
      <c r="DU100">
        <v>1013</v>
      </c>
      <c r="DV100" t="s">
        <v>230</v>
      </c>
      <c r="DW100" t="s">
        <v>230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53213231</v>
      </c>
      <c r="EF100">
        <v>60</v>
      </c>
      <c r="EG100" t="s">
        <v>22</v>
      </c>
      <c r="EH100">
        <v>0</v>
      </c>
      <c r="EI100" t="s">
        <v>3</v>
      </c>
      <c r="EJ100">
        <v>1</v>
      </c>
      <c r="EK100">
        <v>482</v>
      </c>
      <c r="EL100" t="s">
        <v>232</v>
      </c>
      <c r="EM100" t="s">
        <v>233</v>
      </c>
      <c r="EO100" t="s">
        <v>3</v>
      </c>
      <c r="EQ100">
        <v>131072</v>
      </c>
      <c r="ER100">
        <v>119.57</v>
      </c>
      <c r="ES100">
        <v>0</v>
      </c>
      <c r="ET100">
        <v>0</v>
      </c>
      <c r="EU100">
        <v>0</v>
      </c>
      <c r="EV100">
        <v>119.57</v>
      </c>
      <c r="EW100">
        <v>11.7</v>
      </c>
      <c r="EX100">
        <v>0</v>
      </c>
      <c r="EY100">
        <v>0</v>
      </c>
      <c r="FQ100">
        <v>0</v>
      </c>
      <c r="FR100">
        <f t="shared" si="91"/>
        <v>0</v>
      </c>
      <c r="FS100">
        <v>0</v>
      </c>
      <c r="FX100">
        <v>100</v>
      </c>
      <c r="FY100">
        <v>64</v>
      </c>
      <c r="GA100" t="s">
        <v>3</v>
      </c>
      <c r="GD100">
        <v>0</v>
      </c>
      <c r="GF100">
        <v>1687287143</v>
      </c>
      <c r="GG100">
        <v>2</v>
      </c>
      <c r="GH100">
        <v>1</v>
      </c>
      <c r="GI100">
        <v>2</v>
      </c>
      <c r="GJ100">
        <v>0</v>
      </c>
      <c r="GK100">
        <f>ROUND(R100*(R12)/100,2)</f>
        <v>0</v>
      </c>
      <c r="GL100">
        <f t="shared" si="92"/>
        <v>0</v>
      </c>
      <c r="GM100">
        <f t="shared" si="93"/>
        <v>4433.82</v>
      </c>
      <c r="GN100">
        <f t="shared" si="94"/>
        <v>4433.82</v>
      </c>
      <c r="GO100">
        <f t="shared" si="95"/>
        <v>0</v>
      </c>
      <c r="GP100">
        <f t="shared" si="96"/>
        <v>0</v>
      </c>
      <c r="GR100">
        <v>0</v>
      </c>
      <c r="GS100">
        <v>3</v>
      </c>
      <c r="GT100">
        <v>0</v>
      </c>
      <c r="GU100" t="s">
        <v>3</v>
      </c>
      <c r="GV100">
        <f t="shared" si="97"/>
        <v>0</v>
      </c>
      <c r="GW100">
        <v>1</v>
      </c>
      <c r="GX100">
        <f t="shared" si="98"/>
        <v>0</v>
      </c>
      <c r="HA100">
        <v>0</v>
      </c>
      <c r="HB100">
        <v>0</v>
      </c>
      <c r="HC100">
        <f t="shared" si="99"/>
        <v>0</v>
      </c>
      <c r="HE100" t="s">
        <v>3</v>
      </c>
      <c r="HF100" t="s">
        <v>3</v>
      </c>
      <c r="HM100" t="s">
        <v>3</v>
      </c>
      <c r="HN100" t="s">
        <v>3</v>
      </c>
      <c r="HO100" t="s">
        <v>3</v>
      </c>
      <c r="HP100" t="s">
        <v>3</v>
      </c>
      <c r="HQ100" t="s">
        <v>3</v>
      </c>
      <c r="IK100">
        <v>0</v>
      </c>
    </row>
    <row r="101" spans="1:245" x14ac:dyDescent="0.2">
      <c r="A101">
        <v>17</v>
      </c>
      <c r="B101">
        <v>1</v>
      </c>
      <c r="D101">
        <f>ROW(EtalonRes!A130)</f>
        <v>130</v>
      </c>
      <c r="E101" t="s">
        <v>234</v>
      </c>
      <c r="F101" t="s">
        <v>235</v>
      </c>
      <c r="G101" t="s">
        <v>236</v>
      </c>
      <c r="H101" t="s">
        <v>237</v>
      </c>
      <c r="I101">
        <f>ROUND(15/100,9)</f>
        <v>0.15</v>
      </c>
      <c r="J101">
        <v>0</v>
      </c>
      <c r="K101">
        <f>ROUND(15/100,9)</f>
        <v>0.15</v>
      </c>
      <c r="O101">
        <f t="shared" si="70"/>
        <v>6447.19</v>
      </c>
      <c r="P101">
        <f t="shared" si="71"/>
        <v>0</v>
      </c>
      <c r="Q101">
        <f>(ROUND((ROUND((((ET101*0.8))*AV101*I101),2)*BB101),2)+ROUND((ROUND(((AE101-((EU101*0.8)))*AV101*I101),2)*BS101),2))</f>
        <v>176.46</v>
      </c>
      <c r="R101">
        <f t="shared" si="72"/>
        <v>50.27</v>
      </c>
      <c r="S101">
        <f t="shared" si="73"/>
        <v>6270.73</v>
      </c>
      <c r="T101">
        <f t="shared" si="74"/>
        <v>0</v>
      </c>
      <c r="U101">
        <f t="shared" si="75"/>
        <v>17.718</v>
      </c>
      <c r="V101">
        <f t="shared" si="76"/>
        <v>0</v>
      </c>
      <c r="W101">
        <f t="shared" si="77"/>
        <v>0</v>
      </c>
      <c r="X101">
        <f t="shared" si="78"/>
        <v>4703.05</v>
      </c>
      <c r="Y101">
        <f t="shared" si="78"/>
        <v>2571</v>
      </c>
      <c r="AA101">
        <v>53860087</v>
      </c>
      <c r="AB101">
        <f t="shared" si="79"/>
        <v>1494.528</v>
      </c>
      <c r="AC101">
        <f>ROUND(((ES101*0)),6)</f>
        <v>0</v>
      </c>
      <c r="AD101">
        <f>ROUND(((((ET101*0.8))-((EU101*0.8)))+AE101),6)</f>
        <v>105.63200000000001</v>
      </c>
      <c r="AE101">
        <f>ROUND(((EU101*0.8)),6)</f>
        <v>11.12</v>
      </c>
      <c r="AF101">
        <f>ROUND(((EV101*0.8)),6)</f>
        <v>1388.896</v>
      </c>
      <c r="AG101">
        <f t="shared" si="80"/>
        <v>0</v>
      </c>
      <c r="AH101">
        <f>((EW101*0.8))</f>
        <v>118.12</v>
      </c>
      <c r="AI101">
        <f>((EX101*0.8))</f>
        <v>0</v>
      </c>
      <c r="AJ101">
        <f t="shared" si="81"/>
        <v>0</v>
      </c>
      <c r="AK101">
        <v>4051.48</v>
      </c>
      <c r="AL101">
        <v>2183.3200000000002</v>
      </c>
      <c r="AM101">
        <v>132.04</v>
      </c>
      <c r="AN101">
        <v>13.9</v>
      </c>
      <c r="AO101">
        <v>1736.12</v>
      </c>
      <c r="AP101">
        <v>0</v>
      </c>
      <c r="AQ101">
        <v>147.65</v>
      </c>
      <c r="AR101">
        <v>0</v>
      </c>
      <c r="AS101">
        <v>0</v>
      </c>
      <c r="AT101">
        <v>75</v>
      </c>
      <c r="AU101">
        <v>41</v>
      </c>
      <c r="AV101">
        <v>1</v>
      </c>
      <c r="AW101">
        <v>1</v>
      </c>
      <c r="AZ101">
        <v>1</v>
      </c>
      <c r="BA101">
        <v>30.1</v>
      </c>
      <c r="BB101">
        <v>11.14</v>
      </c>
      <c r="BC101">
        <v>5.61</v>
      </c>
      <c r="BD101" t="s">
        <v>3</v>
      </c>
      <c r="BE101" t="s">
        <v>3</v>
      </c>
      <c r="BF101" t="s">
        <v>3</v>
      </c>
      <c r="BG101" t="s">
        <v>3</v>
      </c>
      <c r="BH101">
        <v>0</v>
      </c>
      <c r="BI101">
        <v>1</v>
      </c>
      <c r="BJ101" t="s">
        <v>238</v>
      </c>
      <c r="BM101">
        <v>1688</v>
      </c>
      <c r="BN101">
        <v>36862081</v>
      </c>
      <c r="BO101" t="s">
        <v>235</v>
      </c>
      <c r="BP101">
        <v>1</v>
      </c>
      <c r="BQ101">
        <v>30</v>
      </c>
      <c r="BR101">
        <v>0</v>
      </c>
      <c r="BS101">
        <v>30.1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75</v>
      </c>
      <c r="CA101">
        <v>41</v>
      </c>
      <c r="CB101" t="s">
        <v>3</v>
      </c>
      <c r="CE101">
        <v>30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82"/>
        <v>6447.19</v>
      </c>
      <c r="CQ101">
        <f t="shared" si="83"/>
        <v>0</v>
      </c>
      <c r="CR101">
        <f>(ROUND((ROUND((((ET101*0.8))*AV101*1),2)*BB101),2)+ROUND((ROUND(((AE101-((EU101*0.8)))*AV101*1),2)*BS101),2))</f>
        <v>1176.72</v>
      </c>
      <c r="CS101">
        <f t="shared" si="84"/>
        <v>334.71</v>
      </c>
      <c r="CT101">
        <f t="shared" si="85"/>
        <v>41805.89</v>
      </c>
      <c r="CU101">
        <f t="shared" si="86"/>
        <v>0</v>
      </c>
      <c r="CV101">
        <f t="shared" si="87"/>
        <v>118.12</v>
      </c>
      <c r="CW101">
        <f t="shared" si="88"/>
        <v>0</v>
      </c>
      <c r="CX101">
        <f t="shared" si="88"/>
        <v>0</v>
      </c>
      <c r="CY101">
        <f t="shared" si="89"/>
        <v>4703.0474999999997</v>
      </c>
      <c r="CZ101">
        <f t="shared" si="90"/>
        <v>2570.9992999999995</v>
      </c>
      <c r="DC101" t="s">
        <v>3</v>
      </c>
      <c r="DD101" t="s">
        <v>35</v>
      </c>
      <c r="DE101" t="s">
        <v>36</v>
      </c>
      <c r="DF101" t="s">
        <v>36</v>
      </c>
      <c r="DG101" t="s">
        <v>36</v>
      </c>
      <c r="DH101" t="s">
        <v>3</v>
      </c>
      <c r="DI101" t="s">
        <v>36</v>
      </c>
      <c r="DJ101" t="s">
        <v>36</v>
      </c>
      <c r="DK101" t="s">
        <v>3</v>
      </c>
      <c r="DL101" t="s">
        <v>3</v>
      </c>
      <c r="DM101" t="s">
        <v>3</v>
      </c>
      <c r="DN101">
        <v>91</v>
      </c>
      <c r="DO101">
        <v>70</v>
      </c>
      <c r="DP101">
        <v>1</v>
      </c>
      <c r="DQ101">
        <v>1</v>
      </c>
      <c r="DU101">
        <v>1013</v>
      </c>
      <c r="DV101" t="s">
        <v>237</v>
      </c>
      <c r="DW101" t="s">
        <v>237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53214437</v>
      </c>
      <c r="EF101">
        <v>30</v>
      </c>
      <c r="EG101" t="s">
        <v>37</v>
      </c>
      <c r="EH101">
        <v>0</v>
      </c>
      <c r="EI101" t="s">
        <v>3</v>
      </c>
      <c r="EJ101">
        <v>1</v>
      </c>
      <c r="EK101">
        <v>1688</v>
      </c>
      <c r="EL101" t="s">
        <v>239</v>
      </c>
      <c r="EM101" t="s">
        <v>240</v>
      </c>
      <c r="EO101" t="s">
        <v>3</v>
      </c>
      <c r="EQ101">
        <v>131072</v>
      </c>
      <c r="ER101">
        <v>4051.48</v>
      </c>
      <c r="ES101">
        <v>2183.3200000000002</v>
      </c>
      <c r="ET101">
        <v>132.04</v>
      </c>
      <c r="EU101">
        <v>13.9</v>
      </c>
      <c r="EV101">
        <v>1736.12</v>
      </c>
      <c r="EW101">
        <v>147.65</v>
      </c>
      <c r="EX101">
        <v>0</v>
      </c>
      <c r="EY101">
        <v>0</v>
      </c>
      <c r="FQ101">
        <v>0</v>
      </c>
      <c r="FR101">
        <f t="shared" si="91"/>
        <v>0</v>
      </c>
      <c r="FS101">
        <v>0</v>
      </c>
      <c r="FX101">
        <v>91</v>
      </c>
      <c r="FY101">
        <v>70</v>
      </c>
      <c r="GA101" t="s">
        <v>3</v>
      </c>
      <c r="GD101">
        <v>0</v>
      </c>
      <c r="GF101">
        <v>-1081030331</v>
      </c>
      <c r="GG101">
        <v>2</v>
      </c>
      <c r="GH101">
        <v>1</v>
      </c>
      <c r="GI101">
        <v>2</v>
      </c>
      <c r="GJ101">
        <v>0</v>
      </c>
      <c r="GK101">
        <f>ROUND(R101*(R12)/100,2)</f>
        <v>80.430000000000007</v>
      </c>
      <c r="GL101">
        <f t="shared" si="92"/>
        <v>0</v>
      </c>
      <c r="GM101">
        <f t="shared" si="93"/>
        <v>13801.67</v>
      </c>
      <c r="GN101">
        <f t="shared" si="94"/>
        <v>13801.67</v>
      </c>
      <c r="GO101">
        <f t="shared" si="95"/>
        <v>0</v>
      </c>
      <c r="GP101">
        <f t="shared" si="96"/>
        <v>0</v>
      </c>
      <c r="GR101">
        <v>0</v>
      </c>
      <c r="GS101">
        <v>3</v>
      </c>
      <c r="GT101">
        <v>0</v>
      </c>
      <c r="GU101" t="s">
        <v>3</v>
      </c>
      <c r="GV101">
        <f t="shared" si="97"/>
        <v>0</v>
      </c>
      <c r="GW101">
        <v>1</v>
      </c>
      <c r="GX101">
        <f t="shared" si="98"/>
        <v>0</v>
      </c>
      <c r="HA101">
        <v>0</v>
      </c>
      <c r="HB101">
        <v>0</v>
      </c>
      <c r="HC101">
        <f t="shared" si="99"/>
        <v>0</v>
      </c>
      <c r="HE101" t="s">
        <v>3</v>
      </c>
      <c r="HF101" t="s">
        <v>3</v>
      </c>
      <c r="HM101" t="s">
        <v>3</v>
      </c>
      <c r="HN101" t="s">
        <v>3</v>
      </c>
      <c r="HO101" t="s">
        <v>3</v>
      </c>
      <c r="HP101" t="s">
        <v>3</v>
      </c>
      <c r="HQ101" t="s">
        <v>3</v>
      </c>
      <c r="IK101">
        <v>0</v>
      </c>
    </row>
    <row r="102" spans="1:245" x14ac:dyDescent="0.2">
      <c r="A102">
        <v>17</v>
      </c>
      <c r="B102">
        <v>1</v>
      </c>
      <c r="C102">
        <f>ROW(SmtRes!A98)</f>
        <v>98</v>
      </c>
      <c r="D102">
        <f>ROW(EtalonRes!A151)</f>
        <v>151</v>
      </c>
      <c r="E102" t="s">
        <v>3</v>
      </c>
      <c r="F102" t="s">
        <v>241</v>
      </c>
      <c r="G102" t="s">
        <v>242</v>
      </c>
      <c r="H102" t="s">
        <v>28</v>
      </c>
      <c r="I102">
        <f>ROUND(375/100,9)</f>
        <v>3.75</v>
      </c>
      <c r="J102">
        <v>0</v>
      </c>
      <c r="K102">
        <f>ROUND(375/100,9)</f>
        <v>3.75</v>
      </c>
      <c r="O102">
        <f t="shared" si="70"/>
        <v>100186.35</v>
      </c>
      <c r="P102">
        <f t="shared" si="71"/>
        <v>0</v>
      </c>
      <c r="Q102">
        <f>(ROUND((ROUND((((ET102*0.8))*AV102*I102),2)*BB102),2)+ROUND((ROUND(((AE102-((EU102*0.8)))*AV102*I102),2)*BS102),2))</f>
        <v>2889</v>
      </c>
      <c r="R102">
        <f t="shared" si="72"/>
        <v>856.04</v>
      </c>
      <c r="S102">
        <f t="shared" si="73"/>
        <v>97297.35</v>
      </c>
      <c r="T102">
        <f t="shared" si="74"/>
        <v>0</v>
      </c>
      <c r="U102">
        <f t="shared" si="75"/>
        <v>273.29999999999995</v>
      </c>
      <c r="V102">
        <f t="shared" si="76"/>
        <v>0</v>
      </c>
      <c r="W102">
        <f t="shared" si="77"/>
        <v>0</v>
      </c>
      <c r="X102">
        <f t="shared" si="78"/>
        <v>72973.009999999995</v>
      </c>
      <c r="Y102">
        <f t="shared" si="78"/>
        <v>39891.910000000003</v>
      </c>
      <c r="AA102">
        <v>-1</v>
      </c>
      <c r="AB102">
        <f t="shared" si="79"/>
        <v>930.47199999999998</v>
      </c>
      <c r="AC102">
        <f>ROUND(((ES102*0)),6)</f>
        <v>0</v>
      </c>
      <c r="AD102">
        <f>ROUND(((((ET102*0.8))-((EU102*0.8)))+AE102),6)</f>
        <v>68.48</v>
      </c>
      <c r="AE102">
        <f>ROUND(((EU102*0.8)),6)</f>
        <v>7.5839999999999996</v>
      </c>
      <c r="AF102">
        <f>ROUND(((EV102*0.8)),6)</f>
        <v>861.99199999999996</v>
      </c>
      <c r="AG102">
        <f t="shared" si="80"/>
        <v>0</v>
      </c>
      <c r="AH102">
        <f>((EW102*0.8))</f>
        <v>72.88</v>
      </c>
      <c r="AI102">
        <f>((EX102*0.8))</f>
        <v>0</v>
      </c>
      <c r="AJ102">
        <f t="shared" si="81"/>
        <v>0</v>
      </c>
      <c r="AK102">
        <v>3674.13</v>
      </c>
      <c r="AL102">
        <v>2511.04</v>
      </c>
      <c r="AM102">
        <v>85.6</v>
      </c>
      <c r="AN102">
        <v>9.48</v>
      </c>
      <c r="AO102">
        <v>1077.49</v>
      </c>
      <c r="AP102">
        <v>0</v>
      </c>
      <c r="AQ102">
        <v>91.1</v>
      </c>
      <c r="AR102">
        <v>0</v>
      </c>
      <c r="AS102">
        <v>0</v>
      </c>
      <c r="AT102">
        <v>75</v>
      </c>
      <c r="AU102">
        <v>41</v>
      </c>
      <c r="AV102">
        <v>1</v>
      </c>
      <c r="AW102">
        <v>1</v>
      </c>
      <c r="AZ102">
        <v>1</v>
      </c>
      <c r="BA102">
        <v>30.1</v>
      </c>
      <c r="BB102">
        <v>11.25</v>
      </c>
      <c r="BC102">
        <v>4.0599999999999996</v>
      </c>
      <c r="BD102" t="s">
        <v>3</v>
      </c>
      <c r="BE102" t="s">
        <v>3</v>
      </c>
      <c r="BF102" t="s">
        <v>3</v>
      </c>
      <c r="BG102" t="s">
        <v>3</v>
      </c>
      <c r="BH102">
        <v>0</v>
      </c>
      <c r="BI102">
        <v>1</v>
      </c>
      <c r="BJ102" t="s">
        <v>243</v>
      </c>
      <c r="BM102">
        <v>1659</v>
      </c>
      <c r="BN102">
        <v>36862081</v>
      </c>
      <c r="BO102" t="s">
        <v>241</v>
      </c>
      <c r="BP102">
        <v>1</v>
      </c>
      <c r="BQ102">
        <v>30</v>
      </c>
      <c r="BR102">
        <v>0</v>
      </c>
      <c r="BS102">
        <v>30.1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75</v>
      </c>
      <c r="CA102">
        <v>41</v>
      </c>
      <c r="CB102" t="s">
        <v>3</v>
      </c>
      <c r="CE102">
        <v>30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82"/>
        <v>100186.35</v>
      </c>
      <c r="CQ102">
        <f t="shared" si="83"/>
        <v>0</v>
      </c>
      <c r="CR102">
        <f>(ROUND((ROUND((((ET102*0.8))*AV102*1),2)*BB102),2)+ROUND((ROUND(((AE102-((EU102*0.8)))*AV102*1),2)*BS102),2))</f>
        <v>770.4</v>
      </c>
      <c r="CS102">
        <f t="shared" si="84"/>
        <v>228.16</v>
      </c>
      <c r="CT102">
        <f t="shared" si="85"/>
        <v>25945.9</v>
      </c>
      <c r="CU102">
        <f t="shared" si="86"/>
        <v>0</v>
      </c>
      <c r="CV102">
        <f t="shared" si="87"/>
        <v>72.88</v>
      </c>
      <c r="CW102">
        <f t="shared" si="88"/>
        <v>0</v>
      </c>
      <c r="CX102">
        <f t="shared" si="88"/>
        <v>0</v>
      </c>
      <c r="CY102">
        <f t="shared" si="89"/>
        <v>72973.012500000012</v>
      </c>
      <c r="CZ102">
        <f t="shared" si="90"/>
        <v>39891.913500000002</v>
      </c>
      <c r="DC102" t="s">
        <v>3</v>
      </c>
      <c r="DD102" t="s">
        <v>35</v>
      </c>
      <c r="DE102" t="s">
        <v>36</v>
      </c>
      <c r="DF102" t="s">
        <v>36</v>
      </c>
      <c r="DG102" t="s">
        <v>36</v>
      </c>
      <c r="DH102" t="s">
        <v>3</v>
      </c>
      <c r="DI102" t="s">
        <v>36</v>
      </c>
      <c r="DJ102" t="s">
        <v>36</v>
      </c>
      <c r="DK102" t="s">
        <v>3</v>
      </c>
      <c r="DL102" t="s">
        <v>3</v>
      </c>
      <c r="DM102" t="s">
        <v>3</v>
      </c>
      <c r="DN102">
        <v>91</v>
      </c>
      <c r="DO102">
        <v>70</v>
      </c>
      <c r="DP102">
        <v>1</v>
      </c>
      <c r="DQ102">
        <v>1</v>
      </c>
      <c r="DU102">
        <v>1005</v>
      </c>
      <c r="DV102" t="s">
        <v>28</v>
      </c>
      <c r="DW102" t="s">
        <v>28</v>
      </c>
      <c r="DX102">
        <v>100</v>
      </c>
      <c r="DZ102" t="s">
        <v>3</v>
      </c>
      <c r="EA102" t="s">
        <v>3</v>
      </c>
      <c r="EB102" t="s">
        <v>3</v>
      </c>
      <c r="EC102" t="s">
        <v>3</v>
      </c>
      <c r="EE102">
        <v>53214408</v>
      </c>
      <c r="EF102">
        <v>30</v>
      </c>
      <c r="EG102" t="s">
        <v>37</v>
      </c>
      <c r="EH102">
        <v>0</v>
      </c>
      <c r="EI102" t="s">
        <v>3</v>
      </c>
      <c r="EJ102">
        <v>1</v>
      </c>
      <c r="EK102">
        <v>1659</v>
      </c>
      <c r="EL102" t="s">
        <v>244</v>
      </c>
      <c r="EM102" t="s">
        <v>245</v>
      </c>
      <c r="EO102" t="s">
        <v>3</v>
      </c>
      <c r="EQ102">
        <v>1024</v>
      </c>
      <c r="ER102">
        <v>3674.13</v>
      </c>
      <c r="ES102">
        <v>2511.04</v>
      </c>
      <c r="ET102">
        <v>85.6</v>
      </c>
      <c r="EU102">
        <v>9.48</v>
      </c>
      <c r="EV102">
        <v>1077.49</v>
      </c>
      <c r="EW102">
        <v>91.1</v>
      </c>
      <c r="EX102">
        <v>0</v>
      </c>
      <c r="EY102">
        <v>0</v>
      </c>
      <c r="FQ102">
        <v>0</v>
      </c>
      <c r="FR102">
        <f t="shared" si="91"/>
        <v>0</v>
      </c>
      <c r="FS102">
        <v>0</v>
      </c>
      <c r="FX102">
        <v>91</v>
      </c>
      <c r="FY102">
        <v>70</v>
      </c>
      <c r="GA102" t="s">
        <v>3</v>
      </c>
      <c r="GD102">
        <v>0</v>
      </c>
      <c r="GF102">
        <v>152937471</v>
      </c>
      <c r="GG102">
        <v>2</v>
      </c>
      <c r="GH102">
        <v>1</v>
      </c>
      <c r="GI102">
        <v>2</v>
      </c>
      <c r="GJ102">
        <v>0</v>
      </c>
      <c r="GK102">
        <f>ROUND(R102*(R12)/100,2)</f>
        <v>1369.66</v>
      </c>
      <c r="GL102">
        <f t="shared" si="92"/>
        <v>0</v>
      </c>
      <c r="GM102">
        <f t="shared" si="93"/>
        <v>214420.93</v>
      </c>
      <c r="GN102">
        <f t="shared" si="94"/>
        <v>214420.93</v>
      </c>
      <c r="GO102">
        <f t="shared" si="95"/>
        <v>0</v>
      </c>
      <c r="GP102">
        <f t="shared" si="96"/>
        <v>0</v>
      </c>
      <c r="GR102">
        <v>0</v>
      </c>
      <c r="GS102">
        <v>3</v>
      </c>
      <c r="GT102">
        <v>0</v>
      </c>
      <c r="GU102" t="s">
        <v>3</v>
      </c>
      <c r="GV102">
        <f t="shared" si="97"/>
        <v>0</v>
      </c>
      <c r="GW102">
        <v>1</v>
      </c>
      <c r="GX102">
        <f t="shared" si="98"/>
        <v>0</v>
      </c>
      <c r="HA102">
        <v>0</v>
      </c>
      <c r="HB102">
        <v>0</v>
      </c>
      <c r="HC102">
        <f t="shared" si="99"/>
        <v>0</v>
      </c>
      <c r="HE102" t="s">
        <v>3</v>
      </c>
      <c r="HF102" t="s">
        <v>3</v>
      </c>
      <c r="HM102" t="s">
        <v>3</v>
      </c>
      <c r="HN102" t="s">
        <v>3</v>
      </c>
      <c r="HO102" t="s">
        <v>3</v>
      </c>
      <c r="HP102" t="s">
        <v>3</v>
      </c>
      <c r="HQ102" t="s">
        <v>3</v>
      </c>
      <c r="IK102">
        <v>0</v>
      </c>
    </row>
    <row r="103" spans="1:245" x14ac:dyDescent="0.2">
      <c r="A103">
        <v>17</v>
      </c>
      <c r="B103">
        <v>1</v>
      </c>
      <c r="C103">
        <f>ROW(SmtRes!A100)</f>
        <v>100</v>
      </c>
      <c r="D103">
        <f>ROW(EtalonRes!A153)</f>
        <v>153</v>
      </c>
      <c r="E103" t="s">
        <v>3</v>
      </c>
      <c r="F103" t="s">
        <v>246</v>
      </c>
      <c r="G103" t="s">
        <v>247</v>
      </c>
      <c r="H103" t="s">
        <v>248</v>
      </c>
      <c r="I103">
        <v>7.2</v>
      </c>
      <c r="J103">
        <v>0</v>
      </c>
      <c r="K103">
        <v>7.2</v>
      </c>
      <c r="O103">
        <f t="shared" si="70"/>
        <v>35164.93</v>
      </c>
      <c r="P103">
        <f t="shared" si="71"/>
        <v>0</v>
      </c>
      <c r="Q103">
        <f>(ROUND((ROUND(((ET103)*AV103*I103),2)*BB103),2)+ROUND((ROUND(((AE103-(EU103))*AV103*I103),2)*BS103),2))</f>
        <v>0</v>
      </c>
      <c r="R103">
        <f t="shared" si="72"/>
        <v>0</v>
      </c>
      <c r="S103">
        <f t="shared" si="73"/>
        <v>35164.93</v>
      </c>
      <c r="T103">
        <f t="shared" si="74"/>
        <v>0</v>
      </c>
      <c r="U103">
        <f t="shared" si="75"/>
        <v>114.33600000000001</v>
      </c>
      <c r="V103">
        <f t="shared" si="76"/>
        <v>0</v>
      </c>
      <c r="W103">
        <f t="shared" si="77"/>
        <v>0</v>
      </c>
      <c r="X103">
        <f t="shared" si="78"/>
        <v>24615.45</v>
      </c>
      <c r="Y103">
        <f t="shared" si="78"/>
        <v>14417.62</v>
      </c>
      <c r="AA103">
        <v>-1</v>
      </c>
      <c r="AB103">
        <f t="shared" si="79"/>
        <v>162.26</v>
      </c>
      <c r="AC103">
        <f>ROUND((ES103),6)</f>
        <v>0</v>
      </c>
      <c r="AD103">
        <f>ROUND((((ET103)-(EU103))+AE103),6)</f>
        <v>0</v>
      </c>
      <c r="AE103">
        <f>ROUND((EU103),6)</f>
        <v>0</v>
      </c>
      <c r="AF103">
        <f>ROUND((EV103),6)</f>
        <v>162.26</v>
      </c>
      <c r="AG103">
        <f t="shared" si="80"/>
        <v>0</v>
      </c>
      <c r="AH103">
        <f>(EW103)</f>
        <v>15.88</v>
      </c>
      <c r="AI103">
        <f>(EX103)</f>
        <v>0</v>
      </c>
      <c r="AJ103">
        <f t="shared" si="81"/>
        <v>0</v>
      </c>
      <c r="AK103">
        <v>162.26</v>
      </c>
      <c r="AL103">
        <v>0</v>
      </c>
      <c r="AM103">
        <v>0</v>
      </c>
      <c r="AN103">
        <v>0</v>
      </c>
      <c r="AO103">
        <v>162.26</v>
      </c>
      <c r="AP103">
        <v>0</v>
      </c>
      <c r="AQ103">
        <v>15.88</v>
      </c>
      <c r="AR103">
        <v>0</v>
      </c>
      <c r="AS103">
        <v>0</v>
      </c>
      <c r="AT103">
        <v>70</v>
      </c>
      <c r="AU103">
        <v>41</v>
      </c>
      <c r="AV103">
        <v>1</v>
      </c>
      <c r="AW103">
        <v>1</v>
      </c>
      <c r="AZ103">
        <v>1</v>
      </c>
      <c r="BA103">
        <v>30.1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1</v>
      </c>
      <c r="BJ103" t="s">
        <v>249</v>
      </c>
      <c r="BM103">
        <v>427</v>
      </c>
      <c r="BN103">
        <v>36862081</v>
      </c>
      <c r="BO103" t="s">
        <v>246</v>
      </c>
      <c r="BP103">
        <v>1</v>
      </c>
      <c r="BQ103">
        <v>60</v>
      </c>
      <c r="BR103">
        <v>0</v>
      </c>
      <c r="BS103">
        <v>30.1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70</v>
      </c>
      <c r="CA103">
        <v>41</v>
      </c>
      <c r="CB103" t="s">
        <v>3</v>
      </c>
      <c r="CE103">
        <v>30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82"/>
        <v>35164.93</v>
      </c>
      <c r="CQ103">
        <f t="shared" si="83"/>
        <v>0</v>
      </c>
      <c r="CR103">
        <f>(ROUND((ROUND(((ET103)*AV103*1),2)*BB103),2)+ROUND((ROUND(((AE103-(EU103))*AV103*1),2)*BS103),2))</f>
        <v>0</v>
      </c>
      <c r="CS103">
        <f t="shared" si="84"/>
        <v>0</v>
      </c>
      <c r="CT103">
        <f t="shared" si="85"/>
        <v>4884.03</v>
      </c>
      <c r="CU103">
        <f t="shared" si="86"/>
        <v>0</v>
      </c>
      <c r="CV103">
        <f t="shared" si="87"/>
        <v>15.88</v>
      </c>
      <c r="CW103">
        <f t="shared" si="88"/>
        <v>0</v>
      </c>
      <c r="CX103">
        <f t="shared" si="88"/>
        <v>0</v>
      </c>
      <c r="CY103">
        <f t="shared" si="89"/>
        <v>24615.450999999997</v>
      </c>
      <c r="CZ103">
        <f t="shared" si="90"/>
        <v>14417.621299999999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80</v>
      </c>
      <c r="DO103">
        <v>55</v>
      </c>
      <c r="DP103">
        <v>1</v>
      </c>
      <c r="DQ103">
        <v>1</v>
      </c>
      <c r="DU103">
        <v>1013</v>
      </c>
      <c r="DV103" t="s">
        <v>248</v>
      </c>
      <c r="DW103" t="s">
        <v>248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53213176</v>
      </c>
      <c r="EF103">
        <v>60</v>
      </c>
      <c r="EG103" t="s">
        <v>22</v>
      </c>
      <c r="EH103">
        <v>0</v>
      </c>
      <c r="EI103" t="s">
        <v>3</v>
      </c>
      <c r="EJ103">
        <v>1</v>
      </c>
      <c r="EK103">
        <v>427</v>
      </c>
      <c r="EL103" t="s">
        <v>250</v>
      </c>
      <c r="EM103" t="s">
        <v>251</v>
      </c>
      <c r="EO103" t="s">
        <v>3</v>
      </c>
      <c r="EQ103">
        <v>132096</v>
      </c>
      <c r="ER103">
        <v>162.26</v>
      </c>
      <c r="ES103">
        <v>0</v>
      </c>
      <c r="ET103">
        <v>0</v>
      </c>
      <c r="EU103">
        <v>0</v>
      </c>
      <c r="EV103">
        <v>162.26</v>
      </c>
      <c r="EW103">
        <v>15.88</v>
      </c>
      <c r="EX103">
        <v>0</v>
      </c>
      <c r="EY103">
        <v>0</v>
      </c>
      <c r="FQ103">
        <v>0</v>
      </c>
      <c r="FR103">
        <f t="shared" si="91"/>
        <v>0</v>
      </c>
      <c r="FS103">
        <v>0</v>
      </c>
      <c r="FX103">
        <v>80</v>
      </c>
      <c r="FY103">
        <v>55</v>
      </c>
      <c r="GA103" t="s">
        <v>3</v>
      </c>
      <c r="GD103">
        <v>0</v>
      </c>
      <c r="GF103">
        <v>1899241638</v>
      </c>
      <c r="GG103">
        <v>2</v>
      </c>
      <c r="GH103">
        <v>1</v>
      </c>
      <c r="GI103">
        <v>2</v>
      </c>
      <c r="GJ103">
        <v>0</v>
      </c>
      <c r="GK103">
        <f>ROUND(R103*(R12)/100,2)</f>
        <v>0</v>
      </c>
      <c r="GL103">
        <f t="shared" si="92"/>
        <v>0</v>
      </c>
      <c r="GM103">
        <f t="shared" si="93"/>
        <v>74198</v>
      </c>
      <c r="GN103">
        <f t="shared" si="94"/>
        <v>74198</v>
      </c>
      <c r="GO103">
        <f t="shared" si="95"/>
        <v>0</v>
      </c>
      <c r="GP103">
        <f t="shared" si="96"/>
        <v>0</v>
      </c>
      <c r="GR103">
        <v>0</v>
      </c>
      <c r="GS103">
        <v>3</v>
      </c>
      <c r="GT103">
        <v>0</v>
      </c>
      <c r="GU103" t="s">
        <v>3</v>
      </c>
      <c r="GV103">
        <f t="shared" si="97"/>
        <v>0</v>
      </c>
      <c r="GW103">
        <v>1</v>
      </c>
      <c r="GX103">
        <f t="shared" si="98"/>
        <v>0</v>
      </c>
      <c r="HA103">
        <v>0</v>
      </c>
      <c r="HB103">
        <v>0</v>
      </c>
      <c r="HC103">
        <f t="shared" si="99"/>
        <v>0</v>
      </c>
      <c r="HE103" t="s">
        <v>3</v>
      </c>
      <c r="HF103" t="s">
        <v>3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IK103">
        <v>0</v>
      </c>
    </row>
    <row r="104" spans="1:245" x14ac:dyDescent="0.2">
      <c r="A104">
        <v>19</v>
      </c>
      <c r="B104">
        <v>1</v>
      </c>
      <c r="F104" t="s">
        <v>3</v>
      </c>
      <c r="G104" t="s">
        <v>46</v>
      </c>
      <c r="H104" t="s">
        <v>3</v>
      </c>
      <c r="AA104">
        <v>1</v>
      </c>
      <c r="IK104">
        <v>0</v>
      </c>
    </row>
    <row r="105" spans="1:245" x14ac:dyDescent="0.2">
      <c r="A105">
        <v>17</v>
      </c>
      <c r="B105">
        <v>1</v>
      </c>
      <c r="C105">
        <f>ROW(SmtRes!A101)</f>
        <v>101</v>
      </c>
      <c r="D105">
        <f>ROW(EtalonRes!A157)</f>
        <v>157</v>
      </c>
      <c r="E105" t="s">
        <v>252</v>
      </c>
      <c r="F105" t="s">
        <v>253</v>
      </c>
      <c r="G105" t="s">
        <v>254</v>
      </c>
      <c r="H105" t="s">
        <v>28</v>
      </c>
      <c r="I105">
        <f>ROUND(90/100,9)</f>
        <v>0.9</v>
      </c>
      <c r="J105">
        <v>0</v>
      </c>
      <c r="K105">
        <f>ROUND(90/100,9)</f>
        <v>0.9</v>
      </c>
      <c r="O105">
        <f t="shared" ref="O105:O127" si="100">ROUND(CP105,2)</f>
        <v>1630.8</v>
      </c>
      <c r="P105">
        <f t="shared" ref="P105:P127" si="101">ROUND((ROUND((AC105*AW105*I105),2)*BC105),2)</f>
        <v>0</v>
      </c>
      <c r="Q105">
        <f>(ROUND((ROUND((((ET105*1.25))*AV105*I105),2)*BB105),2)+ROUND((ROUND(((AE105-((EU105*1.25)))*AV105*I105),2)*BS105),2))</f>
        <v>11.42</v>
      </c>
      <c r="R105">
        <f t="shared" ref="R105:R127" si="102">ROUND((ROUND((AE105*AV105*I105),2)*BS105),2)</f>
        <v>4.5199999999999996</v>
      </c>
      <c r="S105">
        <f t="shared" ref="S105:S127" si="103">ROUND((ROUND((AF105*AV105*I105),2)*BA105),2)</f>
        <v>1619.38</v>
      </c>
      <c r="T105">
        <f t="shared" ref="T105:T127" si="104">ROUND(CU105*I105,2)</f>
        <v>0</v>
      </c>
      <c r="U105">
        <f t="shared" ref="U105:U127" si="105">CV105*I105</f>
        <v>4.8127500000000003</v>
      </c>
      <c r="V105">
        <f t="shared" ref="V105:V127" si="106">CW105*I105</f>
        <v>0</v>
      </c>
      <c r="W105">
        <f t="shared" ref="W105:W127" si="107">ROUND(CX105*I105,2)</f>
        <v>0</v>
      </c>
      <c r="X105">
        <f t="shared" ref="X105:X127" si="108">ROUND(CY105,2)</f>
        <v>1344.09</v>
      </c>
      <c r="Y105">
        <f t="shared" ref="Y105:Y127" si="109">ROUND(CZ105,2)</f>
        <v>663.95</v>
      </c>
      <c r="AA105">
        <v>53860087</v>
      </c>
      <c r="AB105">
        <f t="shared" ref="AB105:AB127" si="110">ROUND((AC105+AD105+AF105),6)</f>
        <v>60.826999999999998</v>
      </c>
      <c r="AC105">
        <f t="shared" ref="AC105:AC127" si="111">ROUND((ES105),6)</f>
        <v>0</v>
      </c>
      <c r="AD105">
        <f>ROUND(((((ET105*1.25))-((EU105*1.25)))+AE105),6)</f>
        <v>1.05</v>
      </c>
      <c r="AE105">
        <f>ROUND(((EU105*1.25)),6)</f>
        <v>0.16250000000000001</v>
      </c>
      <c r="AF105">
        <f>ROUND(((EV105*1.15)),6)</f>
        <v>59.777000000000001</v>
      </c>
      <c r="AG105">
        <f t="shared" ref="AG105:AG127" si="112">ROUND((AP105),6)</f>
        <v>0</v>
      </c>
      <c r="AH105">
        <f>((EW105*1.15))</f>
        <v>5.3475000000000001</v>
      </c>
      <c r="AI105">
        <f>((EX105*1.25))</f>
        <v>0</v>
      </c>
      <c r="AJ105">
        <f t="shared" ref="AJ105:AJ127" si="113">(AS105)</f>
        <v>0</v>
      </c>
      <c r="AK105">
        <v>52.82</v>
      </c>
      <c r="AL105">
        <v>0</v>
      </c>
      <c r="AM105">
        <v>0.84</v>
      </c>
      <c r="AN105">
        <v>0.13</v>
      </c>
      <c r="AO105">
        <v>51.98</v>
      </c>
      <c r="AP105">
        <v>0</v>
      </c>
      <c r="AQ105">
        <v>4.6500000000000004</v>
      </c>
      <c r="AR105">
        <v>0</v>
      </c>
      <c r="AS105">
        <v>0</v>
      </c>
      <c r="AT105">
        <v>83</v>
      </c>
      <c r="AU105">
        <v>41</v>
      </c>
      <c r="AV105">
        <v>1</v>
      </c>
      <c r="AW105">
        <v>1</v>
      </c>
      <c r="AZ105">
        <v>1</v>
      </c>
      <c r="BA105">
        <v>30.1</v>
      </c>
      <c r="BB105">
        <v>12.02</v>
      </c>
      <c r="BC105">
        <v>1</v>
      </c>
      <c r="BD105" t="s">
        <v>3</v>
      </c>
      <c r="BE105" t="s">
        <v>3</v>
      </c>
      <c r="BF105" t="s">
        <v>3</v>
      </c>
      <c r="BG105" t="s">
        <v>3</v>
      </c>
      <c r="BH105">
        <v>0</v>
      </c>
      <c r="BI105">
        <v>1</v>
      </c>
      <c r="BJ105" t="s">
        <v>255</v>
      </c>
      <c r="BM105">
        <v>1523</v>
      </c>
      <c r="BN105">
        <v>36862081</v>
      </c>
      <c r="BO105" t="s">
        <v>253</v>
      </c>
      <c r="BP105">
        <v>1</v>
      </c>
      <c r="BQ105">
        <v>30</v>
      </c>
      <c r="BR105">
        <v>0</v>
      </c>
      <c r="BS105">
        <v>30.1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83</v>
      </c>
      <c r="CA105">
        <v>41</v>
      </c>
      <c r="CB105" t="s">
        <v>3</v>
      </c>
      <c r="CE105">
        <v>30</v>
      </c>
      <c r="CF105">
        <v>0</v>
      </c>
      <c r="CG105">
        <v>0</v>
      </c>
      <c r="CM105">
        <v>0</v>
      </c>
      <c r="CN105" t="s">
        <v>3</v>
      </c>
      <c r="CO105">
        <v>0</v>
      </c>
      <c r="CP105">
        <f t="shared" ref="CP105:CP127" si="114">(P105+Q105+S105)</f>
        <v>1630.8000000000002</v>
      </c>
      <c r="CQ105">
        <f t="shared" ref="CQ105:CQ127" si="115">ROUND((ROUND((AC105*AW105*1),2)*BC105),2)</f>
        <v>0</v>
      </c>
      <c r="CR105">
        <f>(ROUND((ROUND((((ET105*1.25))*AV105*1),2)*BB105),2)+ROUND((ROUND(((AE105-((EU105*1.25)))*AV105*1),2)*BS105),2))</f>
        <v>12.62</v>
      </c>
      <c r="CS105">
        <f t="shared" ref="CS105:CS127" si="116">ROUND((ROUND((AE105*AV105*1),2)*BS105),2)</f>
        <v>4.82</v>
      </c>
      <c r="CT105">
        <f t="shared" ref="CT105:CT127" si="117">ROUND((ROUND((AF105*AV105*1),2)*BA105),2)</f>
        <v>1799.38</v>
      </c>
      <c r="CU105">
        <f t="shared" ref="CU105:CU127" si="118">AG105</f>
        <v>0</v>
      </c>
      <c r="CV105">
        <f t="shared" ref="CV105:CV127" si="119">(AH105*AV105)</f>
        <v>5.3475000000000001</v>
      </c>
      <c r="CW105">
        <f t="shared" ref="CW105:CW127" si="120">AI105</f>
        <v>0</v>
      </c>
      <c r="CX105">
        <f t="shared" ref="CX105:CX127" si="121">AJ105</f>
        <v>0</v>
      </c>
      <c r="CY105">
        <f t="shared" ref="CY105:CY127" si="122">S105*(BZ105/100)</f>
        <v>1344.0853999999999</v>
      </c>
      <c r="CZ105">
        <f t="shared" ref="CZ105:CZ127" si="123">S105*(CA105/100)</f>
        <v>663.94579999999996</v>
      </c>
      <c r="DC105" t="s">
        <v>3</v>
      </c>
      <c r="DD105" t="s">
        <v>3</v>
      </c>
      <c r="DE105" t="s">
        <v>51</v>
      </c>
      <c r="DF105" t="s">
        <v>51</v>
      </c>
      <c r="DG105" t="s">
        <v>52</v>
      </c>
      <c r="DH105" t="s">
        <v>3</v>
      </c>
      <c r="DI105" t="s">
        <v>52</v>
      </c>
      <c r="DJ105" t="s">
        <v>51</v>
      </c>
      <c r="DK105" t="s">
        <v>3</v>
      </c>
      <c r="DL105" t="s">
        <v>3</v>
      </c>
      <c r="DM105" t="s">
        <v>3</v>
      </c>
      <c r="DN105">
        <v>100</v>
      </c>
      <c r="DO105">
        <v>64</v>
      </c>
      <c r="DP105">
        <v>1</v>
      </c>
      <c r="DQ105">
        <v>1</v>
      </c>
      <c r="DU105">
        <v>1005</v>
      </c>
      <c r="DV105" t="s">
        <v>28</v>
      </c>
      <c r="DW105" t="s">
        <v>28</v>
      </c>
      <c r="DX105">
        <v>100</v>
      </c>
      <c r="DZ105" t="s">
        <v>3</v>
      </c>
      <c r="EA105" t="s">
        <v>3</v>
      </c>
      <c r="EB105" t="s">
        <v>3</v>
      </c>
      <c r="EC105" t="s">
        <v>3</v>
      </c>
      <c r="EE105">
        <v>53214272</v>
      </c>
      <c r="EF105">
        <v>30</v>
      </c>
      <c r="EG105" t="s">
        <v>37</v>
      </c>
      <c r="EH105">
        <v>0</v>
      </c>
      <c r="EI105" t="s">
        <v>3</v>
      </c>
      <c r="EJ105">
        <v>1</v>
      </c>
      <c r="EK105">
        <v>1523</v>
      </c>
      <c r="EL105" t="s">
        <v>53</v>
      </c>
      <c r="EM105" t="s">
        <v>54</v>
      </c>
      <c r="EO105" t="s">
        <v>3</v>
      </c>
      <c r="EQ105">
        <v>131072</v>
      </c>
      <c r="ER105">
        <v>52.82</v>
      </c>
      <c r="ES105">
        <v>0</v>
      </c>
      <c r="ET105">
        <v>0.84</v>
      </c>
      <c r="EU105">
        <v>0.13</v>
      </c>
      <c r="EV105">
        <v>51.98</v>
      </c>
      <c r="EW105">
        <v>4.6500000000000004</v>
      </c>
      <c r="EX105">
        <v>0</v>
      </c>
      <c r="EY105">
        <v>0</v>
      </c>
      <c r="FQ105">
        <v>0</v>
      </c>
      <c r="FR105">
        <f t="shared" ref="FR105:FR127" si="124">ROUND(IF(BI105=3,GM105,0),2)</f>
        <v>0</v>
      </c>
      <c r="FS105">
        <v>0</v>
      </c>
      <c r="FX105">
        <v>100</v>
      </c>
      <c r="FY105">
        <v>64</v>
      </c>
      <c r="GA105" t="s">
        <v>3</v>
      </c>
      <c r="GD105">
        <v>0</v>
      </c>
      <c r="GF105">
        <v>-1043719239</v>
      </c>
      <c r="GG105">
        <v>2</v>
      </c>
      <c r="GH105">
        <v>1</v>
      </c>
      <c r="GI105">
        <v>2</v>
      </c>
      <c r="GJ105">
        <v>0</v>
      </c>
      <c r="GK105">
        <f>ROUND(R105*(R12)/100,2)</f>
        <v>7.23</v>
      </c>
      <c r="GL105">
        <f t="shared" ref="GL105:GL127" si="125">ROUND(IF(AND(BH105=3,BI105=3,FS105&lt;&gt;0),P105,0),2)</f>
        <v>0</v>
      </c>
      <c r="GM105">
        <f t="shared" ref="GM105:GM127" si="126">ROUND(O105+X105+Y105+GK105,2)+GX105</f>
        <v>3646.07</v>
      </c>
      <c r="GN105">
        <f t="shared" ref="GN105:GN127" si="127">IF(OR(BI105=0,BI105=1),GM105,0)</f>
        <v>3646.07</v>
      </c>
      <c r="GO105">
        <f t="shared" ref="GO105:GO127" si="128">IF(BI105=2,GM105,0)</f>
        <v>0</v>
      </c>
      <c r="GP105">
        <f t="shared" ref="GP105:GP127" si="129">IF(BI105=4,GM105+GX105,0)</f>
        <v>0</v>
      </c>
      <c r="GR105">
        <v>0</v>
      </c>
      <c r="GS105">
        <v>3</v>
      </c>
      <c r="GT105">
        <v>0</v>
      </c>
      <c r="GU105" t="s">
        <v>3</v>
      </c>
      <c r="GV105">
        <f t="shared" ref="GV105:GV127" si="130">ROUND((GT105),6)</f>
        <v>0</v>
      </c>
      <c r="GW105">
        <v>1</v>
      </c>
      <c r="GX105">
        <f t="shared" ref="GX105:GX127" si="131">ROUND(HC105*I105,2)</f>
        <v>0</v>
      </c>
      <c r="HA105">
        <v>0</v>
      </c>
      <c r="HB105">
        <v>0</v>
      </c>
      <c r="HC105">
        <f t="shared" ref="HC105:HC127" si="132">GV105*GW105</f>
        <v>0</v>
      </c>
      <c r="HE105" t="s">
        <v>3</v>
      </c>
      <c r="HF105" t="s">
        <v>3</v>
      </c>
      <c r="HM105" t="s">
        <v>3</v>
      </c>
      <c r="HN105" t="s">
        <v>3</v>
      </c>
      <c r="HO105" t="s">
        <v>3</v>
      </c>
      <c r="HP105" t="s">
        <v>3</v>
      </c>
      <c r="HQ105" t="s">
        <v>3</v>
      </c>
      <c r="IK105">
        <v>0</v>
      </c>
    </row>
    <row r="106" spans="1:245" x14ac:dyDescent="0.2">
      <c r="A106">
        <v>18</v>
      </c>
      <c r="B106">
        <v>1</v>
      </c>
      <c r="C106">
        <v>101</v>
      </c>
      <c r="E106" t="s">
        <v>256</v>
      </c>
      <c r="F106" t="s">
        <v>56</v>
      </c>
      <c r="G106" t="s">
        <v>57</v>
      </c>
      <c r="H106" t="s">
        <v>58</v>
      </c>
      <c r="I106">
        <f>I105*J106</f>
        <v>9.27</v>
      </c>
      <c r="J106">
        <v>10.299999999999999</v>
      </c>
      <c r="K106">
        <v>10.3</v>
      </c>
      <c r="O106">
        <f t="shared" si="100"/>
        <v>961.73</v>
      </c>
      <c r="P106">
        <f t="shared" si="101"/>
        <v>961.73</v>
      </c>
      <c r="Q106">
        <f>(ROUND((ROUND(((ET106)*AV106*I106),2)*BB106),2)+ROUND((ROUND(((AE106-(EU106))*AV106*I106),2)*BS106),2))</f>
        <v>0</v>
      </c>
      <c r="R106">
        <f t="shared" si="102"/>
        <v>0</v>
      </c>
      <c r="S106">
        <f t="shared" si="103"/>
        <v>0</v>
      </c>
      <c r="T106">
        <f t="shared" si="104"/>
        <v>0</v>
      </c>
      <c r="U106">
        <f t="shared" si="105"/>
        <v>0</v>
      </c>
      <c r="V106">
        <f t="shared" si="106"/>
        <v>0</v>
      </c>
      <c r="W106">
        <f t="shared" si="107"/>
        <v>0</v>
      </c>
      <c r="X106">
        <f t="shared" si="108"/>
        <v>0</v>
      </c>
      <c r="Y106">
        <f t="shared" si="109"/>
        <v>0</v>
      </c>
      <c r="AA106">
        <v>53860087</v>
      </c>
      <c r="AB106">
        <f t="shared" si="110"/>
        <v>28.98</v>
      </c>
      <c r="AC106">
        <f t="shared" si="111"/>
        <v>28.98</v>
      </c>
      <c r="AD106">
        <f>ROUND((((ET106)-(EU106))+AE106),6)</f>
        <v>0</v>
      </c>
      <c r="AE106">
        <f>ROUND((EU106),6)</f>
        <v>0</v>
      </c>
      <c r="AF106">
        <f>ROUND((EV106),6)</f>
        <v>0</v>
      </c>
      <c r="AG106">
        <f t="shared" si="112"/>
        <v>0</v>
      </c>
      <c r="AH106">
        <f>(EW106)</f>
        <v>0</v>
      </c>
      <c r="AI106">
        <f>(EX106)</f>
        <v>0</v>
      </c>
      <c r="AJ106">
        <f t="shared" si="113"/>
        <v>0</v>
      </c>
      <c r="AK106">
        <v>28.98</v>
      </c>
      <c r="AL106">
        <v>28.98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3.58</v>
      </c>
      <c r="BD106" t="s">
        <v>3</v>
      </c>
      <c r="BE106" t="s">
        <v>3</v>
      </c>
      <c r="BF106" t="s">
        <v>3</v>
      </c>
      <c r="BG106" t="s">
        <v>3</v>
      </c>
      <c r="BH106">
        <v>3</v>
      </c>
      <c r="BI106">
        <v>1</v>
      </c>
      <c r="BJ106" t="s">
        <v>59</v>
      </c>
      <c r="BM106">
        <v>1523</v>
      </c>
      <c r="BN106">
        <v>36862081</v>
      </c>
      <c r="BO106" t="s">
        <v>56</v>
      </c>
      <c r="BP106">
        <v>1</v>
      </c>
      <c r="BQ106">
        <v>30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0</v>
      </c>
      <c r="CA106">
        <v>0</v>
      </c>
      <c r="CB106" t="s">
        <v>3</v>
      </c>
      <c r="CE106">
        <v>30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114"/>
        <v>961.73</v>
      </c>
      <c r="CQ106">
        <f t="shared" si="115"/>
        <v>103.75</v>
      </c>
      <c r="CR106">
        <f>(ROUND((ROUND(((ET106)*AV106*1),2)*BB106),2)+ROUND((ROUND(((AE106-(EU106))*AV106*1),2)*BS106),2))</f>
        <v>0</v>
      </c>
      <c r="CS106">
        <f t="shared" si="116"/>
        <v>0</v>
      </c>
      <c r="CT106">
        <f t="shared" si="117"/>
        <v>0</v>
      </c>
      <c r="CU106">
        <f t="shared" si="118"/>
        <v>0</v>
      </c>
      <c r="CV106">
        <f t="shared" si="119"/>
        <v>0</v>
      </c>
      <c r="CW106">
        <f t="shared" si="120"/>
        <v>0</v>
      </c>
      <c r="CX106">
        <f t="shared" si="121"/>
        <v>0</v>
      </c>
      <c r="CY106">
        <f t="shared" si="122"/>
        <v>0</v>
      </c>
      <c r="CZ106">
        <f t="shared" si="123"/>
        <v>0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100</v>
      </c>
      <c r="DO106">
        <v>64</v>
      </c>
      <c r="DP106">
        <v>1</v>
      </c>
      <c r="DQ106">
        <v>1</v>
      </c>
      <c r="DU106">
        <v>1009</v>
      </c>
      <c r="DV106" t="s">
        <v>58</v>
      </c>
      <c r="DW106" t="s">
        <v>58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53214272</v>
      </c>
      <c r="EF106">
        <v>30</v>
      </c>
      <c r="EG106" t="s">
        <v>37</v>
      </c>
      <c r="EH106">
        <v>0</v>
      </c>
      <c r="EI106" t="s">
        <v>3</v>
      </c>
      <c r="EJ106">
        <v>1</v>
      </c>
      <c r="EK106">
        <v>1523</v>
      </c>
      <c r="EL106" t="s">
        <v>53</v>
      </c>
      <c r="EM106" t="s">
        <v>54</v>
      </c>
      <c r="EO106" t="s">
        <v>3</v>
      </c>
      <c r="EQ106">
        <v>0</v>
      </c>
      <c r="ER106">
        <v>28.98</v>
      </c>
      <c r="ES106">
        <v>28.98</v>
      </c>
      <c r="ET106">
        <v>0</v>
      </c>
      <c r="EU106">
        <v>0</v>
      </c>
      <c r="EV106">
        <v>0</v>
      </c>
      <c r="EW106">
        <v>0</v>
      </c>
      <c r="EX106">
        <v>0</v>
      </c>
      <c r="FQ106">
        <v>0</v>
      </c>
      <c r="FR106">
        <f t="shared" si="124"/>
        <v>0</v>
      </c>
      <c r="FS106">
        <v>0</v>
      </c>
      <c r="FX106">
        <v>100</v>
      </c>
      <c r="FY106">
        <v>64</v>
      </c>
      <c r="GA106" t="s">
        <v>3</v>
      </c>
      <c r="GD106">
        <v>0</v>
      </c>
      <c r="GF106">
        <v>33071459</v>
      </c>
      <c r="GG106">
        <v>2</v>
      </c>
      <c r="GH106">
        <v>1</v>
      </c>
      <c r="GI106">
        <v>2</v>
      </c>
      <c r="GJ106">
        <v>0</v>
      </c>
      <c r="GK106">
        <f>ROUND(R106*(R12)/100,2)</f>
        <v>0</v>
      </c>
      <c r="GL106">
        <f t="shared" si="125"/>
        <v>0</v>
      </c>
      <c r="GM106">
        <f t="shared" si="126"/>
        <v>961.73</v>
      </c>
      <c r="GN106">
        <f t="shared" si="127"/>
        <v>961.73</v>
      </c>
      <c r="GO106">
        <f t="shared" si="128"/>
        <v>0</v>
      </c>
      <c r="GP106">
        <f t="shared" si="129"/>
        <v>0</v>
      </c>
      <c r="GR106">
        <v>0</v>
      </c>
      <c r="GS106">
        <v>3</v>
      </c>
      <c r="GT106">
        <v>0</v>
      </c>
      <c r="GU106" t="s">
        <v>3</v>
      </c>
      <c r="GV106">
        <f t="shared" si="130"/>
        <v>0</v>
      </c>
      <c r="GW106">
        <v>1</v>
      </c>
      <c r="GX106">
        <f t="shared" si="131"/>
        <v>0</v>
      </c>
      <c r="HA106">
        <v>0</v>
      </c>
      <c r="HB106">
        <v>0</v>
      </c>
      <c r="HC106">
        <f t="shared" si="132"/>
        <v>0</v>
      </c>
      <c r="HE106" t="s">
        <v>3</v>
      </c>
      <c r="HF106" t="s">
        <v>3</v>
      </c>
      <c r="HM106" t="s">
        <v>3</v>
      </c>
      <c r="HN106" t="s">
        <v>3</v>
      </c>
      <c r="HO106" t="s">
        <v>3</v>
      </c>
      <c r="HP106" t="s">
        <v>3</v>
      </c>
      <c r="HQ106" t="s">
        <v>3</v>
      </c>
      <c r="IK106">
        <v>0</v>
      </c>
    </row>
    <row r="107" spans="1:245" x14ac:dyDescent="0.2">
      <c r="A107">
        <v>17</v>
      </c>
      <c r="B107">
        <v>1</v>
      </c>
      <c r="C107">
        <f>ROW(SmtRes!A104)</f>
        <v>104</v>
      </c>
      <c r="D107">
        <f>ROW(EtalonRes!A168)</f>
        <v>168</v>
      </c>
      <c r="E107" t="s">
        <v>257</v>
      </c>
      <c r="F107" t="s">
        <v>258</v>
      </c>
      <c r="G107" t="s">
        <v>259</v>
      </c>
      <c r="H107" t="s">
        <v>63</v>
      </c>
      <c r="I107">
        <f>ROUND(75/100,9)</f>
        <v>0.75</v>
      </c>
      <c r="J107">
        <v>0</v>
      </c>
      <c r="K107">
        <f>ROUND(75/100,9)</f>
        <v>0.75</v>
      </c>
      <c r="O107">
        <f t="shared" si="100"/>
        <v>25978.49</v>
      </c>
      <c r="P107">
        <f t="shared" si="101"/>
        <v>2087.04</v>
      </c>
      <c r="Q107">
        <f>(ROUND((ROUND((((ET107*1.25))*AV107*I107),2)*BB107),2)+ROUND((ROUND(((AE107-((EU107*1.25)))*AV107*I107),2)*BS107),2))</f>
        <v>2291.69</v>
      </c>
      <c r="R107">
        <f t="shared" si="102"/>
        <v>1703.06</v>
      </c>
      <c r="S107">
        <f t="shared" si="103"/>
        <v>21599.759999999998</v>
      </c>
      <c r="T107">
        <f t="shared" si="104"/>
        <v>0</v>
      </c>
      <c r="U107">
        <f t="shared" si="105"/>
        <v>56.0625</v>
      </c>
      <c r="V107">
        <f t="shared" si="106"/>
        <v>0</v>
      </c>
      <c r="W107">
        <f t="shared" si="107"/>
        <v>0</v>
      </c>
      <c r="X107">
        <f t="shared" si="108"/>
        <v>17927.8</v>
      </c>
      <c r="Y107">
        <f t="shared" si="109"/>
        <v>8855.9</v>
      </c>
      <c r="AA107">
        <v>53860087</v>
      </c>
      <c r="AB107">
        <f t="shared" si="110"/>
        <v>1196.655</v>
      </c>
      <c r="AC107">
        <f t="shared" si="111"/>
        <v>100.78</v>
      </c>
      <c r="AD107">
        <f>ROUND(((((ET107*1.25))-((EU107*1.25)))+AE107),6)</f>
        <v>139.07499999999999</v>
      </c>
      <c r="AE107">
        <f>ROUND(((EU107*1.25)),6)</f>
        <v>75.4375</v>
      </c>
      <c r="AF107">
        <f>ROUND(((EV107*1.15)),6)</f>
        <v>956.8</v>
      </c>
      <c r="AG107">
        <f t="shared" si="112"/>
        <v>0</v>
      </c>
      <c r="AH107">
        <f>((EW107*1.15))</f>
        <v>74.75</v>
      </c>
      <c r="AI107">
        <f>((EX107*1.25))</f>
        <v>0</v>
      </c>
      <c r="AJ107">
        <f t="shared" si="113"/>
        <v>0</v>
      </c>
      <c r="AK107">
        <v>1044.04</v>
      </c>
      <c r="AL107">
        <v>100.78</v>
      </c>
      <c r="AM107">
        <v>111.26</v>
      </c>
      <c r="AN107">
        <v>60.35</v>
      </c>
      <c r="AO107">
        <v>832</v>
      </c>
      <c r="AP107">
        <v>0</v>
      </c>
      <c r="AQ107">
        <v>65</v>
      </c>
      <c r="AR107">
        <v>0</v>
      </c>
      <c r="AS107">
        <v>0</v>
      </c>
      <c r="AT107">
        <v>83</v>
      </c>
      <c r="AU107">
        <v>41</v>
      </c>
      <c r="AV107">
        <v>1</v>
      </c>
      <c r="AW107">
        <v>1</v>
      </c>
      <c r="AZ107">
        <v>1</v>
      </c>
      <c r="BA107">
        <v>30.1</v>
      </c>
      <c r="BB107">
        <v>21.97</v>
      </c>
      <c r="BC107">
        <v>27.61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1</v>
      </c>
      <c r="BJ107" t="s">
        <v>260</v>
      </c>
      <c r="BM107">
        <v>115</v>
      </c>
      <c r="BN107">
        <v>36862081</v>
      </c>
      <c r="BO107" t="s">
        <v>258</v>
      </c>
      <c r="BP107">
        <v>1</v>
      </c>
      <c r="BQ107">
        <v>30</v>
      </c>
      <c r="BR107">
        <v>0</v>
      </c>
      <c r="BS107">
        <v>30.1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83</v>
      </c>
      <c r="CA107">
        <v>41</v>
      </c>
      <c r="CB107" t="s">
        <v>3</v>
      </c>
      <c r="CE107">
        <v>30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114"/>
        <v>25978.489999999998</v>
      </c>
      <c r="CQ107">
        <f t="shared" si="115"/>
        <v>2782.54</v>
      </c>
      <c r="CR107">
        <f>(ROUND((ROUND((((ET107*1.25))*AV107*1),2)*BB107),2)+ROUND((ROUND(((AE107-((EU107*1.25)))*AV107*1),2)*BS107),2))</f>
        <v>3055.59</v>
      </c>
      <c r="CS107">
        <f t="shared" si="116"/>
        <v>2270.7399999999998</v>
      </c>
      <c r="CT107">
        <f t="shared" si="117"/>
        <v>28799.68</v>
      </c>
      <c r="CU107">
        <f t="shared" si="118"/>
        <v>0</v>
      </c>
      <c r="CV107">
        <f t="shared" si="119"/>
        <v>74.75</v>
      </c>
      <c r="CW107">
        <f t="shared" si="120"/>
        <v>0</v>
      </c>
      <c r="CX107">
        <f t="shared" si="121"/>
        <v>0</v>
      </c>
      <c r="CY107">
        <f t="shared" si="122"/>
        <v>17927.800799999997</v>
      </c>
      <c r="CZ107">
        <f t="shared" si="123"/>
        <v>8855.9015999999992</v>
      </c>
      <c r="DC107" t="s">
        <v>3</v>
      </c>
      <c r="DD107" t="s">
        <v>3</v>
      </c>
      <c r="DE107" t="s">
        <v>51</v>
      </c>
      <c r="DF107" t="s">
        <v>51</v>
      </c>
      <c r="DG107" t="s">
        <v>52</v>
      </c>
      <c r="DH107" t="s">
        <v>3</v>
      </c>
      <c r="DI107" t="s">
        <v>52</v>
      </c>
      <c r="DJ107" t="s">
        <v>51</v>
      </c>
      <c r="DK107" t="s">
        <v>3</v>
      </c>
      <c r="DL107" t="s">
        <v>3</v>
      </c>
      <c r="DM107" t="s">
        <v>3</v>
      </c>
      <c r="DN107">
        <v>100</v>
      </c>
      <c r="DO107">
        <v>64</v>
      </c>
      <c r="DP107">
        <v>1</v>
      </c>
      <c r="DQ107">
        <v>1</v>
      </c>
      <c r="DU107">
        <v>1013</v>
      </c>
      <c r="DV107" t="s">
        <v>63</v>
      </c>
      <c r="DW107" t="s">
        <v>63</v>
      </c>
      <c r="DX107">
        <v>1</v>
      </c>
      <c r="DZ107" t="s">
        <v>3</v>
      </c>
      <c r="EA107" t="s">
        <v>3</v>
      </c>
      <c r="EB107" t="s">
        <v>3</v>
      </c>
      <c r="EC107" t="s">
        <v>3</v>
      </c>
      <c r="EE107">
        <v>53212864</v>
      </c>
      <c r="EF107">
        <v>30</v>
      </c>
      <c r="EG107" t="s">
        <v>37</v>
      </c>
      <c r="EH107">
        <v>0</v>
      </c>
      <c r="EI107" t="s">
        <v>3</v>
      </c>
      <c r="EJ107">
        <v>1</v>
      </c>
      <c r="EK107">
        <v>115</v>
      </c>
      <c r="EL107" t="s">
        <v>65</v>
      </c>
      <c r="EM107" t="s">
        <v>66</v>
      </c>
      <c r="EO107" t="s">
        <v>3</v>
      </c>
      <c r="EQ107">
        <v>131072</v>
      </c>
      <c r="ER107">
        <v>1044.04</v>
      </c>
      <c r="ES107">
        <v>100.78</v>
      </c>
      <c r="ET107">
        <v>111.26</v>
      </c>
      <c r="EU107">
        <v>60.35</v>
      </c>
      <c r="EV107">
        <v>832</v>
      </c>
      <c r="EW107">
        <v>65</v>
      </c>
      <c r="EX107">
        <v>0</v>
      </c>
      <c r="EY107">
        <v>0</v>
      </c>
      <c r="FQ107">
        <v>0</v>
      </c>
      <c r="FR107">
        <f t="shared" si="124"/>
        <v>0</v>
      </c>
      <c r="FS107">
        <v>0</v>
      </c>
      <c r="FX107">
        <v>100</v>
      </c>
      <c r="FY107">
        <v>64</v>
      </c>
      <c r="GA107" t="s">
        <v>3</v>
      </c>
      <c r="GD107">
        <v>0</v>
      </c>
      <c r="GF107">
        <v>-691244263</v>
      </c>
      <c r="GG107">
        <v>2</v>
      </c>
      <c r="GH107">
        <v>1</v>
      </c>
      <c r="GI107">
        <v>2</v>
      </c>
      <c r="GJ107">
        <v>0</v>
      </c>
      <c r="GK107">
        <f>ROUND(R107*(R12)/100,2)</f>
        <v>2724.9</v>
      </c>
      <c r="GL107">
        <f t="shared" si="125"/>
        <v>0</v>
      </c>
      <c r="GM107">
        <f t="shared" si="126"/>
        <v>55487.09</v>
      </c>
      <c r="GN107">
        <f t="shared" si="127"/>
        <v>55487.09</v>
      </c>
      <c r="GO107">
        <f t="shared" si="128"/>
        <v>0</v>
      </c>
      <c r="GP107">
        <f t="shared" si="129"/>
        <v>0</v>
      </c>
      <c r="GR107">
        <v>0</v>
      </c>
      <c r="GS107">
        <v>3</v>
      </c>
      <c r="GT107">
        <v>0</v>
      </c>
      <c r="GU107" t="s">
        <v>3</v>
      </c>
      <c r="GV107">
        <f t="shared" si="130"/>
        <v>0</v>
      </c>
      <c r="GW107">
        <v>1</v>
      </c>
      <c r="GX107">
        <f t="shared" si="131"/>
        <v>0</v>
      </c>
      <c r="HA107">
        <v>0</v>
      </c>
      <c r="HB107">
        <v>0</v>
      </c>
      <c r="HC107">
        <f t="shared" si="132"/>
        <v>0</v>
      </c>
      <c r="HE107" t="s">
        <v>3</v>
      </c>
      <c r="HF107" t="s">
        <v>3</v>
      </c>
      <c r="HM107" t="s">
        <v>3</v>
      </c>
      <c r="HN107" t="s">
        <v>3</v>
      </c>
      <c r="HO107" t="s">
        <v>3</v>
      </c>
      <c r="HP107" t="s">
        <v>3</v>
      </c>
      <c r="HQ107" t="s">
        <v>3</v>
      </c>
      <c r="IK107">
        <v>0</v>
      </c>
    </row>
    <row r="108" spans="1:245" x14ac:dyDescent="0.2">
      <c r="A108">
        <v>18</v>
      </c>
      <c r="B108">
        <v>1</v>
      </c>
      <c r="C108">
        <v>102</v>
      </c>
      <c r="E108" t="s">
        <v>261</v>
      </c>
      <c r="F108" t="s">
        <v>68</v>
      </c>
      <c r="G108" t="s">
        <v>69</v>
      </c>
      <c r="H108" t="s">
        <v>70</v>
      </c>
      <c r="I108">
        <f>I107*J108</f>
        <v>6.3E-2</v>
      </c>
      <c r="J108">
        <v>8.4000000000000005E-2</v>
      </c>
      <c r="K108">
        <v>8.4000000000000005E-2</v>
      </c>
      <c r="O108">
        <f t="shared" si="100"/>
        <v>2.7</v>
      </c>
      <c r="P108">
        <f t="shared" si="101"/>
        <v>2.7</v>
      </c>
      <c r="Q108">
        <f>(ROUND((ROUND(((ET108)*AV108*I108),2)*BB108),2)+ROUND((ROUND(((AE108-(EU108))*AV108*I108),2)*BS108),2))</f>
        <v>0</v>
      </c>
      <c r="R108">
        <f t="shared" si="102"/>
        <v>0</v>
      </c>
      <c r="S108">
        <f t="shared" si="103"/>
        <v>0</v>
      </c>
      <c r="T108">
        <f t="shared" si="104"/>
        <v>0</v>
      </c>
      <c r="U108">
        <f t="shared" si="105"/>
        <v>0</v>
      </c>
      <c r="V108">
        <f t="shared" si="106"/>
        <v>0</v>
      </c>
      <c r="W108">
        <f t="shared" si="107"/>
        <v>0</v>
      </c>
      <c r="X108">
        <f t="shared" si="108"/>
        <v>0</v>
      </c>
      <c r="Y108">
        <f t="shared" si="109"/>
        <v>0</v>
      </c>
      <c r="AA108">
        <v>53860087</v>
      </c>
      <c r="AB108">
        <f t="shared" si="110"/>
        <v>7.07</v>
      </c>
      <c r="AC108">
        <f t="shared" si="111"/>
        <v>7.07</v>
      </c>
      <c r="AD108">
        <f>ROUND((((ET108)-(EU108))+AE108),6)</f>
        <v>0</v>
      </c>
      <c r="AE108">
        <f t="shared" ref="AE108:AF110" si="133">ROUND((EU108),6)</f>
        <v>0</v>
      </c>
      <c r="AF108">
        <f t="shared" si="133"/>
        <v>0</v>
      </c>
      <c r="AG108">
        <f t="shared" si="112"/>
        <v>0</v>
      </c>
      <c r="AH108">
        <f t="shared" ref="AH108:AI110" si="134">(EW108)</f>
        <v>0</v>
      </c>
      <c r="AI108">
        <f t="shared" si="134"/>
        <v>0</v>
      </c>
      <c r="AJ108">
        <f t="shared" si="113"/>
        <v>0</v>
      </c>
      <c r="AK108">
        <v>7.07</v>
      </c>
      <c r="AL108">
        <v>7.07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6</v>
      </c>
      <c r="BD108" t="s">
        <v>3</v>
      </c>
      <c r="BE108" t="s">
        <v>3</v>
      </c>
      <c r="BF108" t="s">
        <v>3</v>
      </c>
      <c r="BG108" t="s">
        <v>3</v>
      </c>
      <c r="BH108">
        <v>3</v>
      </c>
      <c r="BI108">
        <v>1</v>
      </c>
      <c r="BJ108" t="s">
        <v>71</v>
      </c>
      <c r="BM108">
        <v>115</v>
      </c>
      <c r="BN108">
        <v>36862081</v>
      </c>
      <c r="BO108" t="s">
        <v>68</v>
      </c>
      <c r="BP108">
        <v>1</v>
      </c>
      <c r="BQ108">
        <v>30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0</v>
      </c>
      <c r="CA108">
        <v>0</v>
      </c>
      <c r="CB108" t="s">
        <v>3</v>
      </c>
      <c r="CE108">
        <v>30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114"/>
        <v>2.7</v>
      </c>
      <c r="CQ108">
        <f t="shared" si="115"/>
        <v>42.42</v>
      </c>
      <c r="CR108">
        <f>(ROUND((ROUND(((ET108)*AV108*1),2)*BB108),2)+ROUND((ROUND(((AE108-(EU108))*AV108*1),2)*BS108),2))</f>
        <v>0</v>
      </c>
      <c r="CS108">
        <f t="shared" si="116"/>
        <v>0</v>
      </c>
      <c r="CT108">
        <f t="shared" si="117"/>
        <v>0</v>
      </c>
      <c r="CU108">
        <f t="shared" si="118"/>
        <v>0</v>
      </c>
      <c r="CV108">
        <f t="shared" si="119"/>
        <v>0</v>
      </c>
      <c r="CW108">
        <f t="shared" si="120"/>
        <v>0</v>
      </c>
      <c r="CX108">
        <f t="shared" si="121"/>
        <v>0</v>
      </c>
      <c r="CY108">
        <f t="shared" si="122"/>
        <v>0</v>
      </c>
      <c r="CZ108">
        <f t="shared" si="123"/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100</v>
      </c>
      <c r="DO108">
        <v>64</v>
      </c>
      <c r="DP108">
        <v>1</v>
      </c>
      <c r="DQ108">
        <v>1</v>
      </c>
      <c r="DU108">
        <v>1007</v>
      </c>
      <c r="DV108" t="s">
        <v>70</v>
      </c>
      <c r="DW108" t="s">
        <v>70</v>
      </c>
      <c r="DX108">
        <v>1</v>
      </c>
      <c r="DZ108" t="s">
        <v>3</v>
      </c>
      <c r="EA108" t="s">
        <v>3</v>
      </c>
      <c r="EB108" t="s">
        <v>3</v>
      </c>
      <c r="EC108" t="s">
        <v>3</v>
      </c>
      <c r="EE108">
        <v>53212864</v>
      </c>
      <c r="EF108">
        <v>30</v>
      </c>
      <c r="EG108" t="s">
        <v>37</v>
      </c>
      <c r="EH108">
        <v>0</v>
      </c>
      <c r="EI108" t="s">
        <v>3</v>
      </c>
      <c r="EJ108">
        <v>1</v>
      </c>
      <c r="EK108">
        <v>115</v>
      </c>
      <c r="EL108" t="s">
        <v>65</v>
      </c>
      <c r="EM108" t="s">
        <v>66</v>
      </c>
      <c r="EO108" t="s">
        <v>3</v>
      </c>
      <c r="EQ108">
        <v>0</v>
      </c>
      <c r="ER108">
        <v>7.07</v>
      </c>
      <c r="ES108">
        <v>7.07</v>
      </c>
      <c r="ET108">
        <v>0</v>
      </c>
      <c r="EU108">
        <v>0</v>
      </c>
      <c r="EV108">
        <v>0</v>
      </c>
      <c r="EW108">
        <v>0</v>
      </c>
      <c r="EX108">
        <v>0</v>
      </c>
      <c r="FQ108">
        <v>0</v>
      </c>
      <c r="FR108">
        <f t="shared" si="124"/>
        <v>0</v>
      </c>
      <c r="FS108">
        <v>0</v>
      </c>
      <c r="FX108">
        <v>100</v>
      </c>
      <c r="FY108">
        <v>64</v>
      </c>
      <c r="GA108" t="s">
        <v>3</v>
      </c>
      <c r="GD108">
        <v>0</v>
      </c>
      <c r="GF108">
        <v>-862991314</v>
      </c>
      <c r="GG108">
        <v>2</v>
      </c>
      <c r="GH108">
        <v>1</v>
      </c>
      <c r="GI108">
        <v>2</v>
      </c>
      <c r="GJ108">
        <v>0</v>
      </c>
      <c r="GK108">
        <f>ROUND(R108*(R12)/100,2)</f>
        <v>0</v>
      </c>
      <c r="GL108">
        <f t="shared" si="125"/>
        <v>0</v>
      </c>
      <c r="GM108">
        <f t="shared" si="126"/>
        <v>2.7</v>
      </c>
      <c r="GN108">
        <f t="shared" si="127"/>
        <v>2.7</v>
      </c>
      <c r="GO108">
        <f t="shared" si="128"/>
        <v>0</v>
      </c>
      <c r="GP108">
        <f t="shared" si="129"/>
        <v>0</v>
      </c>
      <c r="GR108">
        <v>0</v>
      </c>
      <c r="GS108">
        <v>3</v>
      </c>
      <c r="GT108">
        <v>0</v>
      </c>
      <c r="GU108" t="s">
        <v>3</v>
      </c>
      <c r="GV108">
        <f t="shared" si="130"/>
        <v>0</v>
      </c>
      <c r="GW108">
        <v>1</v>
      </c>
      <c r="GX108">
        <f t="shared" si="131"/>
        <v>0</v>
      </c>
      <c r="HA108">
        <v>0</v>
      </c>
      <c r="HB108">
        <v>0</v>
      </c>
      <c r="HC108">
        <f t="shared" si="132"/>
        <v>0</v>
      </c>
      <c r="HE108" t="s">
        <v>3</v>
      </c>
      <c r="HF108" t="s">
        <v>3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IK108">
        <v>0</v>
      </c>
    </row>
    <row r="109" spans="1:245" x14ac:dyDescent="0.2">
      <c r="A109">
        <v>18</v>
      </c>
      <c r="B109">
        <v>1</v>
      </c>
      <c r="C109">
        <v>104</v>
      </c>
      <c r="E109" t="s">
        <v>262</v>
      </c>
      <c r="F109" t="s">
        <v>73</v>
      </c>
      <c r="G109" t="s">
        <v>263</v>
      </c>
      <c r="H109" t="s">
        <v>75</v>
      </c>
      <c r="I109">
        <f>I107*J109</f>
        <v>0.36</v>
      </c>
      <c r="J109">
        <v>0.48</v>
      </c>
      <c r="K109">
        <v>0.48</v>
      </c>
      <c r="O109">
        <f t="shared" si="100"/>
        <v>4026.67</v>
      </c>
      <c r="P109">
        <f t="shared" si="101"/>
        <v>4026.67</v>
      </c>
      <c r="Q109">
        <f>(ROUND((ROUND(((ET109)*AV109*I109),2)*BB109),2)+ROUND((ROUND(((AE109-(EU109))*AV109*I109),2)*BS109),2))</f>
        <v>0</v>
      </c>
      <c r="R109">
        <f t="shared" si="102"/>
        <v>0</v>
      </c>
      <c r="S109">
        <f t="shared" si="103"/>
        <v>0</v>
      </c>
      <c r="T109">
        <f t="shared" si="104"/>
        <v>0</v>
      </c>
      <c r="U109">
        <f t="shared" si="105"/>
        <v>0</v>
      </c>
      <c r="V109">
        <f t="shared" si="106"/>
        <v>0</v>
      </c>
      <c r="W109">
        <f t="shared" si="107"/>
        <v>0</v>
      </c>
      <c r="X109">
        <f t="shared" si="108"/>
        <v>0</v>
      </c>
      <c r="Y109">
        <f t="shared" si="109"/>
        <v>0</v>
      </c>
      <c r="AA109">
        <v>53860087</v>
      </c>
      <c r="AB109">
        <f t="shared" si="110"/>
        <v>1517.68</v>
      </c>
      <c r="AC109">
        <f t="shared" si="111"/>
        <v>1517.68</v>
      </c>
      <c r="AD109">
        <f>ROUND((((ET109)-(EU109))+AE109),6)</f>
        <v>0</v>
      </c>
      <c r="AE109">
        <f t="shared" si="133"/>
        <v>0</v>
      </c>
      <c r="AF109">
        <f t="shared" si="133"/>
        <v>0</v>
      </c>
      <c r="AG109">
        <f t="shared" si="112"/>
        <v>0</v>
      </c>
      <c r="AH109">
        <f t="shared" si="134"/>
        <v>0</v>
      </c>
      <c r="AI109">
        <f t="shared" si="134"/>
        <v>0</v>
      </c>
      <c r="AJ109">
        <f t="shared" si="113"/>
        <v>0</v>
      </c>
      <c r="AK109">
        <v>1517.68</v>
      </c>
      <c r="AL109">
        <v>1517.68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7.37</v>
      </c>
      <c r="BD109" t="s">
        <v>3</v>
      </c>
      <c r="BE109" t="s">
        <v>3</v>
      </c>
      <c r="BF109" t="s">
        <v>3</v>
      </c>
      <c r="BG109" t="s">
        <v>3</v>
      </c>
      <c r="BH109">
        <v>3</v>
      </c>
      <c r="BI109">
        <v>1</v>
      </c>
      <c r="BJ109" t="s">
        <v>76</v>
      </c>
      <c r="BM109">
        <v>115</v>
      </c>
      <c r="BN109">
        <v>36862081</v>
      </c>
      <c r="BO109" t="s">
        <v>73</v>
      </c>
      <c r="BP109">
        <v>1</v>
      </c>
      <c r="BQ109">
        <v>30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0</v>
      </c>
      <c r="CA109">
        <v>0</v>
      </c>
      <c r="CB109" t="s">
        <v>3</v>
      </c>
      <c r="CE109">
        <v>30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114"/>
        <v>4026.67</v>
      </c>
      <c r="CQ109">
        <f t="shared" si="115"/>
        <v>11185.3</v>
      </c>
      <c r="CR109">
        <f>(ROUND((ROUND(((ET109)*AV109*1),2)*BB109),2)+ROUND((ROUND(((AE109-(EU109))*AV109*1),2)*BS109),2))</f>
        <v>0</v>
      </c>
      <c r="CS109">
        <f t="shared" si="116"/>
        <v>0</v>
      </c>
      <c r="CT109">
        <f t="shared" si="117"/>
        <v>0</v>
      </c>
      <c r="CU109">
        <f t="shared" si="118"/>
        <v>0</v>
      </c>
      <c r="CV109">
        <f t="shared" si="119"/>
        <v>0</v>
      </c>
      <c r="CW109">
        <f t="shared" si="120"/>
        <v>0</v>
      </c>
      <c r="CX109">
        <f t="shared" si="121"/>
        <v>0</v>
      </c>
      <c r="CY109">
        <f t="shared" si="122"/>
        <v>0</v>
      </c>
      <c r="CZ109">
        <f t="shared" si="123"/>
        <v>0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100</v>
      </c>
      <c r="DO109">
        <v>64</v>
      </c>
      <c r="DP109">
        <v>1</v>
      </c>
      <c r="DQ109">
        <v>1</v>
      </c>
      <c r="DU109">
        <v>1009</v>
      </c>
      <c r="DV109" t="s">
        <v>75</v>
      </c>
      <c r="DW109" t="s">
        <v>75</v>
      </c>
      <c r="DX109">
        <v>1000</v>
      </c>
      <c r="DZ109" t="s">
        <v>3</v>
      </c>
      <c r="EA109" t="s">
        <v>3</v>
      </c>
      <c r="EB109" t="s">
        <v>3</v>
      </c>
      <c r="EC109" t="s">
        <v>3</v>
      </c>
      <c r="EE109">
        <v>53212864</v>
      </c>
      <c r="EF109">
        <v>30</v>
      </c>
      <c r="EG109" t="s">
        <v>37</v>
      </c>
      <c r="EH109">
        <v>0</v>
      </c>
      <c r="EI109" t="s">
        <v>3</v>
      </c>
      <c r="EJ109">
        <v>1</v>
      </c>
      <c r="EK109">
        <v>115</v>
      </c>
      <c r="EL109" t="s">
        <v>65</v>
      </c>
      <c r="EM109" t="s">
        <v>66</v>
      </c>
      <c r="EO109" t="s">
        <v>3</v>
      </c>
      <c r="EQ109">
        <v>0</v>
      </c>
      <c r="ER109">
        <v>1517.68</v>
      </c>
      <c r="ES109">
        <v>1517.68</v>
      </c>
      <c r="ET109">
        <v>0</v>
      </c>
      <c r="EU109">
        <v>0</v>
      </c>
      <c r="EV109">
        <v>0</v>
      </c>
      <c r="EW109">
        <v>0</v>
      </c>
      <c r="EX109">
        <v>0</v>
      </c>
      <c r="FQ109">
        <v>0</v>
      </c>
      <c r="FR109">
        <f t="shared" si="124"/>
        <v>0</v>
      </c>
      <c r="FS109">
        <v>0</v>
      </c>
      <c r="FX109">
        <v>100</v>
      </c>
      <c r="FY109">
        <v>64</v>
      </c>
      <c r="GA109" t="s">
        <v>3</v>
      </c>
      <c r="GD109">
        <v>0</v>
      </c>
      <c r="GF109">
        <v>-1764562027</v>
      </c>
      <c r="GG109">
        <v>2</v>
      </c>
      <c r="GH109">
        <v>1</v>
      </c>
      <c r="GI109">
        <v>2</v>
      </c>
      <c r="GJ109">
        <v>0</v>
      </c>
      <c r="GK109">
        <f>ROUND(R109*(R12)/100,2)</f>
        <v>0</v>
      </c>
      <c r="GL109">
        <f t="shared" si="125"/>
        <v>0</v>
      </c>
      <c r="GM109">
        <f t="shared" si="126"/>
        <v>4026.67</v>
      </c>
      <c r="GN109">
        <f t="shared" si="127"/>
        <v>4026.67</v>
      </c>
      <c r="GO109">
        <f t="shared" si="128"/>
        <v>0</v>
      </c>
      <c r="GP109">
        <f t="shared" si="129"/>
        <v>0</v>
      </c>
      <c r="GR109">
        <v>0</v>
      </c>
      <c r="GS109">
        <v>3</v>
      </c>
      <c r="GT109">
        <v>0</v>
      </c>
      <c r="GU109" t="s">
        <v>3</v>
      </c>
      <c r="GV109">
        <f t="shared" si="130"/>
        <v>0</v>
      </c>
      <c r="GW109">
        <v>1</v>
      </c>
      <c r="GX109">
        <f t="shared" si="131"/>
        <v>0</v>
      </c>
      <c r="HA109">
        <v>0</v>
      </c>
      <c r="HB109">
        <v>0</v>
      </c>
      <c r="HC109">
        <f t="shared" si="132"/>
        <v>0</v>
      </c>
      <c r="HE109" t="s">
        <v>3</v>
      </c>
      <c r="HF109" t="s">
        <v>3</v>
      </c>
      <c r="HM109" t="s">
        <v>3</v>
      </c>
      <c r="HN109" t="s">
        <v>3</v>
      </c>
      <c r="HO109" t="s">
        <v>3</v>
      </c>
      <c r="HP109" t="s">
        <v>3</v>
      </c>
      <c r="HQ109" t="s">
        <v>3</v>
      </c>
      <c r="IK109">
        <v>0</v>
      </c>
    </row>
    <row r="110" spans="1:245" x14ac:dyDescent="0.2">
      <c r="A110">
        <v>18</v>
      </c>
      <c r="B110">
        <v>1</v>
      </c>
      <c r="C110">
        <v>103</v>
      </c>
      <c r="E110" t="s">
        <v>264</v>
      </c>
      <c r="F110" t="s">
        <v>78</v>
      </c>
      <c r="G110" t="s">
        <v>265</v>
      </c>
      <c r="H110" t="s">
        <v>70</v>
      </c>
      <c r="I110">
        <f>I107*J110</f>
        <v>0.90599999999999992</v>
      </c>
      <c r="J110">
        <v>1.208</v>
      </c>
      <c r="K110">
        <v>1.208</v>
      </c>
      <c r="O110">
        <f t="shared" si="100"/>
        <v>4115.3500000000004</v>
      </c>
      <c r="P110">
        <f t="shared" si="101"/>
        <v>4115.3500000000004</v>
      </c>
      <c r="Q110">
        <f>(ROUND((ROUND(((ET110)*AV110*I110),2)*BB110),2)+ROUND((ROUND(((AE110-(EU110))*AV110*I110),2)*BS110),2))</f>
        <v>0</v>
      </c>
      <c r="R110">
        <f t="shared" si="102"/>
        <v>0</v>
      </c>
      <c r="S110">
        <f t="shared" si="103"/>
        <v>0</v>
      </c>
      <c r="T110">
        <f t="shared" si="104"/>
        <v>0</v>
      </c>
      <c r="U110">
        <f t="shared" si="105"/>
        <v>0</v>
      </c>
      <c r="V110">
        <f t="shared" si="106"/>
        <v>0</v>
      </c>
      <c r="W110">
        <f t="shared" si="107"/>
        <v>0</v>
      </c>
      <c r="X110">
        <f t="shared" si="108"/>
        <v>0</v>
      </c>
      <c r="Y110">
        <f t="shared" si="109"/>
        <v>0</v>
      </c>
      <c r="AA110">
        <v>53860087</v>
      </c>
      <c r="AB110">
        <f t="shared" si="110"/>
        <v>481.69</v>
      </c>
      <c r="AC110">
        <f t="shared" si="111"/>
        <v>481.69</v>
      </c>
      <c r="AD110">
        <f>ROUND((((ET110)-(EU110))+AE110),6)</f>
        <v>0</v>
      </c>
      <c r="AE110">
        <f t="shared" si="133"/>
        <v>0</v>
      </c>
      <c r="AF110">
        <f t="shared" si="133"/>
        <v>0</v>
      </c>
      <c r="AG110">
        <f t="shared" si="112"/>
        <v>0</v>
      </c>
      <c r="AH110">
        <f t="shared" si="134"/>
        <v>0</v>
      </c>
      <c r="AI110">
        <f t="shared" si="134"/>
        <v>0</v>
      </c>
      <c r="AJ110">
        <f t="shared" si="113"/>
        <v>0</v>
      </c>
      <c r="AK110">
        <v>481.69</v>
      </c>
      <c r="AL110">
        <v>481.69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1</v>
      </c>
      <c r="AW110">
        <v>1</v>
      </c>
      <c r="AZ110">
        <v>1</v>
      </c>
      <c r="BA110">
        <v>1</v>
      </c>
      <c r="BB110">
        <v>1</v>
      </c>
      <c r="BC110">
        <v>9.43</v>
      </c>
      <c r="BD110" t="s">
        <v>3</v>
      </c>
      <c r="BE110" t="s">
        <v>3</v>
      </c>
      <c r="BF110" t="s">
        <v>3</v>
      </c>
      <c r="BG110" t="s">
        <v>3</v>
      </c>
      <c r="BH110">
        <v>3</v>
      </c>
      <c r="BI110">
        <v>1</v>
      </c>
      <c r="BJ110" t="s">
        <v>80</v>
      </c>
      <c r="BM110">
        <v>115</v>
      </c>
      <c r="BN110">
        <v>36862081</v>
      </c>
      <c r="BO110" t="s">
        <v>78</v>
      </c>
      <c r="BP110">
        <v>1</v>
      </c>
      <c r="BQ110">
        <v>30</v>
      </c>
      <c r="BR110">
        <v>0</v>
      </c>
      <c r="BS110">
        <v>1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0</v>
      </c>
      <c r="CA110">
        <v>0</v>
      </c>
      <c r="CB110" t="s">
        <v>3</v>
      </c>
      <c r="CE110">
        <v>30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si="114"/>
        <v>4115.3500000000004</v>
      </c>
      <c r="CQ110">
        <f t="shared" si="115"/>
        <v>4542.34</v>
      </c>
      <c r="CR110">
        <f>(ROUND((ROUND(((ET110)*AV110*1),2)*BB110),2)+ROUND((ROUND(((AE110-(EU110))*AV110*1),2)*BS110),2))</f>
        <v>0</v>
      </c>
      <c r="CS110">
        <f t="shared" si="116"/>
        <v>0</v>
      </c>
      <c r="CT110">
        <f t="shared" si="117"/>
        <v>0</v>
      </c>
      <c r="CU110">
        <f t="shared" si="118"/>
        <v>0</v>
      </c>
      <c r="CV110">
        <f t="shared" si="119"/>
        <v>0</v>
      </c>
      <c r="CW110">
        <f t="shared" si="120"/>
        <v>0</v>
      </c>
      <c r="CX110">
        <f t="shared" si="121"/>
        <v>0</v>
      </c>
      <c r="CY110">
        <f t="shared" si="122"/>
        <v>0</v>
      </c>
      <c r="CZ110">
        <f t="shared" si="123"/>
        <v>0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100</v>
      </c>
      <c r="DO110">
        <v>64</v>
      </c>
      <c r="DP110">
        <v>1</v>
      </c>
      <c r="DQ110">
        <v>1</v>
      </c>
      <c r="DU110">
        <v>1007</v>
      </c>
      <c r="DV110" t="s">
        <v>70</v>
      </c>
      <c r="DW110" t="s">
        <v>70</v>
      </c>
      <c r="DX110">
        <v>1</v>
      </c>
      <c r="DZ110" t="s">
        <v>3</v>
      </c>
      <c r="EA110" t="s">
        <v>3</v>
      </c>
      <c r="EB110" t="s">
        <v>3</v>
      </c>
      <c r="EC110" t="s">
        <v>3</v>
      </c>
      <c r="EE110">
        <v>53212864</v>
      </c>
      <c r="EF110">
        <v>30</v>
      </c>
      <c r="EG110" t="s">
        <v>37</v>
      </c>
      <c r="EH110">
        <v>0</v>
      </c>
      <c r="EI110" t="s">
        <v>3</v>
      </c>
      <c r="EJ110">
        <v>1</v>
      </c>
      <c r="EK110">
        <v>115</v>
      </c>
      <c r="EL110" t="s">
        <v>65</v>
      </c>
      <c r="EM110" t="s">
        <v>66</v>
      </c>
      <c r="EO110" t="s">
        <v>3</v>
      </c>
      <c r="EQ110">
        <v>0</v>
      </c>
      <c r="ER110">
        <v>481.69</v>
      </c>
      <c r="ES110">
        <v>481.69</v>
      </c>
      <c r="ET110">
        <v>0</v>
      </c>
      <c r="EU110">
        <v>0</v>
      </c>
      <c r="EV110">
        <v>0</v>
      </c>
      <c r="EW110">
        <v>0</v>
      </c>
      <c r="EX110">
        <v>0</v>
      </c>
      <c r="FQ110">
        <v>0</v>
      </c>
      <c r="FR110">
        <f t="shared" si="124"/>
        <v>0</v>
      </c>
      <c r="FS110">
        <v>0</v>
      </c>
      <c r="FX110">
        <v>100</v>
      </c>
      <c r="FY110">
        <v>64</v>
      </c>
      <c r="GA110" t="s">
        <v>3</v>
      </c>
      <c r="GD110">
        <v>0</v>
      </c>
      <c r="GF110">
        <v>1935795695</v>
      </c>
      <c r="GG110">
        <v>2</v>
      </c>
      <c r="GH110">
        <v>1</v>
      </c>
      <c r="GI110">
        <v>2</v>
      </c>
      <c r="GJ110">
        <v>0</v>
      </c>
      <c r="GK110">
        <f>ROUND(R110*(R12)/100,2)</f>
        <v>0</v>
      </c>
      <c r="GL110">
        <f t="shared" si="125"/>
        <v>0</v>
      </c>
      <c r="GM110">
        <f t="shared" si="126"/>
        <v>4115.3500000000004</v>
      </c>
      <c r="GN110">
        <f t="shared" si="127"/>
        <v>4115.3500000000004</v>
      </c>
      <c r="GO110">
        <f t="shared" si="128"/>
        <v>0</v>
      </c>
      <c r="GP110">
        <f t="shared" si="129"/>
        <v>0</v>
      </c>
      <c r="GR110">
        <v>0</v>
      </c>
      <c r="GS110">
        <v>3</v>
      </c>
      <c r="GT110">
        <v>0</v>
      </c>
      <c r="GU110" t="s">
        <v>3</v>
      </c>
      <c r="GV110">
        <f t="shared" si="130"/>
        <v>0</v>
      </c>
      <c r="GW110">
        <v>1</v>
      </c>
      <c r="GX110">
        <f t="shared" si="131"/>
        <v>0</v>
      </c>
      <c r="HA110">
        <v>0</v>
      </c>
      <c r="HB110">
        <v>0</v>
      </c>
      <c r="HC110">
        <f t="shared" si="132"/>
        <v>0</v>
      </c>
      <c r="HE110" t="s">
        <v>3</v>
      </c>
      <c r="HF110" t="s">
        <v>3</v>
      </c>
      <c r="HM110" t="s">
        <v>3</v>
      </c>
      <c r="HN110" t="s">
        <v>3</v>
      </c>
      <c r="HO110" t="s">
        <v>3</v>
      </c>
      <c r="HP110" t="s">
        <v>3</v>
      </c>
      <c r="HQ110" t="s">
        <v>3</v>
      </c>
      <c r="IK110">
        <v>0</v>
      </c>
    </row>
    <row r="111" spans="1:245" x14ac:dyDescent="0.2">
      <c r="A111">
        <v>17</v>
      </c>
      <c r="B111">
        <v>1</v>
      </c>
      <c r="C111">
        <f>ROW(SmtRes!A107)</f>
        <v>107</v>
      </c>
      <c r="D111">
        <f>ROW(EtalonRes!A177)</f>
        <v>177</v>
      </c>
      <c r="E111" t="s">
        <v>266</v>
      </c>
      <c r="F111" t="s">
        <v>267</v>
      </c>
      <c r="G111" t="s">
        <v>268</v>
      </c>
      <c r="H111" t="s">
        <v>28</v>
      </c>
      <c r="I111">
        <f>ROUND(75/100,9)</f>
        <v>0.75</v>
      </c>
      <c r="J111">
        <v>0</v>
      </c>
      <c r="K111">
        <f>ROUND(75/100,9)</f>
        <v>0.75</v>
      </c>
      <c r="O111">
        <f t="shared" si="100"/>
        <v>35688.19</v>
      </c>
      <c r="P111">
        <f t="shared" si="101"/>
        <v>174.57</v>
      </c>
      <c r="Q111">
        <f>(ROUND((ROUND((((ET111*1.25))*AV111*I111),2)*BB111),2)+ROUND((ROUND(((AE111-((EU111*1.25)))*AV111*I111),2)*BS111),2))</f>
        <v>149.43</v>
      </c>
      <c r="R111">
        <f t="shared" si="102"/>
        <v>32.81</v>
      </c>
      <c r="S111">
        <f t="shared" si="103"/>
        <v>35364.19</v>
      </c>
      <c r="T111">
        <f t="shared" si="104"/>
        <v>0</v>
      </c>
      <c r="U111">
        <f t="shared" si="105"/>
        <v>99.411750000000012</v>
      </c>
      <c r="V111">
        <f t="shared" si="106"/>
        <v>0</v>
      </c>
      <c r="W111">
        <f t="shared" si="107"/>
        <v>0</v>
      </c>
      <c r="X111">
        <f t="shared" si="108"/>
        <v>29352.28</v>
      </c>
      <c r="Y111">
        <f t="shared" si="109"/>
        <v>14499.32</v>
      </c>
      <c r="AA111">
        <v>53860087</v>
      </c>
      <c r="AB111">
        <f t="shared" si="110"/>
        <v>1667.7885000000001</v>
      </c>
      <c r="AC111">
        <f t="shared" si="111"/>
        <v>83.42</v>
      </c>
      <c r="AD111">
        <f>ROUND(((((ET111*1.25))-((EU111*1.25)))+AE111),6)</f>
        <v>17.850000000000001</v>
      </c>
      <c r="AE111">
        <f>ROUND(((EU111*1.25)),6)</f>
        <v>1.45</v>
      </c>
      <c r="AF111">
        <f>ROUND(((EV111*1.15)),6)</f>
        <v>1566.5184999999999</v>
      </c>
      <c r="AG111">
        <f t="shared" si="112"/>
        <v>0</v>
      </c>
      <c r="AH111">
        <f>((EW111*1.15))</f>
        <v>132.54900000000001</v>
      </c>
      <c r="AI111">
        <f>((EX111*1.25))</f>
        <v>0</v>
      </c>
      <c r="AJ111">
        <f t="shared" si="113"/>
        <v>0</v>
      </c>
      <c r="AK111">
        <v>1459.89</v>
      </c>
      <c r="AL111">
        <v>83.42</v>
      </c>
      <c r="AM111">
        <v>14.28</v>
      </c>
      <c r="AN111">
        <v>1.1599999999999999</v>
      </c>
      <c r="AO111">
        <v>1362.19</v>
      </c>
      <c r="AP111">
        <v>0</v>
      </c>
      <c r="AQ111">
        <v>115.26</v>
      </c>
      <c r="AR111">
        <v>0</v>
      </c>
      <c r="AS111">
        <v>0</v>
      </c>
      <c r="AT111">
        <v>83</v>
      </c>
      <c r="AU111">
        <v>41</v>
      </c>
      <c r="AV111">
        <v>1</v>
      </c>
      <c r="AW111">
        <v>1</v>
      </c>
      <c r="AZ111">
        <v>1</v>
      </c>
      <c r="BA111">
        <v>30.1</v>
      </c>
      <c r="BB111">
        <v>11.16</v>
      </c>
      <c r="BC111">
        <v>2.79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269</v>
      </c>
      <c r="BM111">
        <v>126</v>
      </c>
      <c r="BN111">
        <v>36862081</v>
      </c>
      <c r="BO111" t="s">
        <v>267</v>
      </c>
      <c r="BP111">
        <v>1</v>
      </c>
      <c r="BQ111">
        <v>30</v>
      </c>
      <c r="BR111">
        <v>0</v>
      </c>
      <c r="BS111">
        <v>30.1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83</v>
      </c>
      <c r="CA111">
        <v>41</v>
      </c>
      <c r="CB111" t="s">
        <v>3</v>
      </c>
      <c r="CE111">
        <v>30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114"/>
        <v>35688.19</v>
      </c>
      <c r="CQ111">
        <f t="shared" si="115"/>
        <v>232.74</v>
      </c>
      <c r="CR111">
        <f>(ROUND((ROUND((((ET111*1.25))*AV111*1),2)*BB111),2)+ROUND((ROUND(((AE111-((EU111*1.25)))*AV111*1),2)*BS111),2))</f>
        <v>199.21</v>
      </c>
      <c r="CS111">
        <f t="shared" si="116"/>
        <v>43.65</v>
      </c>
      <c r="CT111">
        <f t="shared" si="117"/>
        <v>47152.25</v>
      </c>
      <c r="CU111">
        <f t="shared" si="118"/>
        <v>0</v>
      </c>
      <c r="CV111">
        <f t="shared" si="119"/>
        <v>132.54900000000001</v>
      </c>
      <c r="CW111">
        <f t="shared" si="120"/>
        <v>0</v>
      </c>
      <c r="CX111">
        <f t="shared" si="121"/>
        <v>0</v>
      </c>
      <c r="CY111">
        <f t="shared" si="122"/>
        <v>29352.277699999999</v>
      </c>
      <c r="CZ111">
        <f t="shared" si="123"/>
        <v>14499.3179</v>
      </c>
      <c r="DC111" t="s">
        <v>3</v>
      </c>
      <c r="DD111" t="s">
        <v>3</v>
      </c>
      <c r="DE111" t="s">
        <v>51</v>
      </c>
      <c r="DF111" t="s">
        <v>51</v>
      </c>
      <c r="DG111" t="s">
        <v>52</v>
      </c>
      <c r="DH111" t="s">
        <v>3</v>
      </c>
      <c r="DI111" t="s">
        <v>52</v>
      </c>
      <c r="DJ111" t="s">
        <v>51</v>
      </c>
      <c r="DK111" t="s">
        <v>3</v>
      </c>
      <c r="DL111" t="s">
        <v>3</v>
      </c>
      <c r="DM111" t="s">
        <v>3</v>
      </c>
      <c r="DN111">
        <v>100</v>
      </c>
      <c r="DO111">
        <v>64</v>
      </c>
      <c r="DP111">
        <v>1</v>
      </c>
      <c r="DQ111">
        <v>1</v>
      </c>
      <c r="DU111">
        <v>1005</v>
      </c>
      <c r="DV111" t="s">
        <v>28</v>
      </c>
      <c r="DW111" t="s">
        <v>28</v>
      </c>
      <c r="DX111">
        <v>100</v>
      </c>
      <c r="DZ111" t="s">
        <v>3</v>
      </c>
      <c r="EA111" t="s">
        <v>3</v>
      </c>
      <c r="EB111" t="s">
        <v>3</v>
      </c>
      <c r="EC111" t="s">
        <v>3</v>
      </c>
      <c r="EE111">
        <v>53212875</v>
      </c>
      <c r="EF111">
        <v>30</v>
      </c>
      <c r="EG111" t="s">
        <v>37</v>
      </c>
      <c r="EH111">
        <v>0</v>
      </c>
      <c r="EI111" t="s">
        <v>3</v>
      </c>
      <c r="EJ111">
        <v>1</v>
      </c>
      <c r="EK111">
        <v>126</v>
      </c>
      <c r="EL111" t="s">
        <v>270</v>
      </c>
      <c r="EM111" t="s">
        <v>271</v>
      </c>
      <c r="EO111" t="s">
        <v>3</v>
      </c>
      <c r="EQ111">
        <v>131072</v>
      </c>
      <c r="ER111">
        <v>1459.89</v>
      </c>
      <c r="ES111">
        <v>83.42</v>
      </c>
      <c r="ET111">
        <v>14.28</v>
      </c>
      <c r="EU111">
        <v>1.1599999999999999</v>
      </c>
      <c r="EV111">
        <v>1362.19</v>
      </c>
      <c r="EW111">
        <v>115.26</v>
      </c>
      <c r="EX111">
        <v>0</v>
      </c>
      <c r="EY111">
        <v>0</v>
      </c>
      <c r="FQ111">
        <v>0</v>
      </c>
      <c r="FR111">
        <f t="shared" si="124"/>
        <v>0</v>
      </c>
      <c r="FS111">
        <v>0</v>
      </c>
      <c r="FX111">
        <v>100</v>
      </c>
      <c r="FY111">
        <v>64</v>
      </c>
      <c r="GA111" t="s">
        <v>3</v>
      </c>
      <c r="GD111">
        <v>0</v>
      </c>
      <c r="GF111">
        <v>-1649534360</v>
      </c>
      <c r="GG111">
        <v>2</v>
      </c>
      <c r="GH111">
        <v>1</v>
      </c>
      <c r="GI111">
        <v>2</v>
      </c>
      <c r="GJ111">
        <v>0</v>
      </c>
      <c r="GK111">
        <f>ROUND(R111*(R12)/100,2)</f>
        <v>52.5</v>
      </c>
      <c r="GL111">
        <f t="shared" si="125"/>
        <v>0</v>
      </c>
      <c r="GM111">
        <f t="shared" si="126"/>
        <v>79592.289999999994</v>
      </c>
      <c r="GN111">
        <f t="shared" si="127"/>
        <v>79592.289999999994</v>
      </c>
      <c r="GO111">
        <f t="shared" si="128"/>
        <v>0</v>
      </c>
      <c r="GP111">
        <f t="shared" si="129"/>
        <v>0</v>
      </c>
      <c r="GR111">
        <v>0</v>
      </c>
      <c r="GS111">
        <v>3</v>
      </c>
      <c r="GT111">
        <v>0</v>
      </c>
      <c r="GU111" t="s">
        <v>3</v>
      </c>
      <c r="GV111">
        <f t="shared" si="130"/>
        <v>0</v>
      </c>
      <c r="GW111">
        <v>1</v>
      </c>
      <c r="GX111">
        <f t="shared" si="131"/>
        <v>0</v>
      </c>
      <c r="HA111">
        <v>0</v>
      </c>
      <c r="HB111">
        <v>0</v>
      </c>
      <c r="HC111">
        <f t="shared" si="132"/>
        <v>0</v>
      </c>
      <c r="HE111" t="s">
        <v>3</v>
      </c>
      <c r="HF111" t="s">
        <v>3</v>
      </c>
      <c r="HM111" t="s">
        <v>3</v>
      </c>
      <c r="HN111" t="s">
        <v>3</v>
      </c>
      <c r="HO111" t="s">
        <v>3</v>
      </c>
      <c r="HP111" t="s">
        <v>3</v>
      </c>
      <c r="HQ111" t="s">
        <v>3</v>
      </c>
      <c r="IK111">
        <v>0</v>
      </c>
    </row>
    <row r="112" spans="1:245" x14ac:dyDescent="0.2">
      <c r="A112">
        <v>18</v>
      </c>
      <c r="B112">
        <v>1</v>
      </c>
      <c r="C112">
        <v>106</v>
      </c>
      <c r="E112" t="s">
        <v>272</v>
      </c>
      <c r="F112" t="s">
        <v>273</v>
      </c>
      <c r="G112" t="s">
        <v>274</v>
      </c>
      <c r="H112" t="s">
        <v>75</v>
      </c>
      <c r="I112">
        <f>I111*J112</f>
        <v>4.1250000000000002E-2</v>
      </c>
      <c r="J112">
        <v>5.5E-2</v>
      </c>
      <c r="K112">
        <v>5.5E-2</v>
      </c>
      <c r="O112">
        <f t="shared" si="100"/>
        <v>3769.89</v>
      </c>
      <c r="P112">
        <f t="shared" si="101"/>
        <v>3769.89</v>
      </c>
      <c r="Q112">
        <f>(ROUND((ROUND(((ET112)*AV112*I112),2)*BB112),2)+ROUND((ROUND(((AE112-(EU112))*AV112*I112),2)*BS112),2))</f>
        <v>0</v>
      </c>
      <c r="R112">
        <f t="shared" si="102"/>
        <v>0</v>
      </c>
      <c r="S112">
        <f t="shared" si="103"/>
        <v>0</v>
      </c>
      <c r="T112">
        <f t="shared" si="104"/>
        <v>0</v>
      </c>
      <c r="U112">
        <f t="shared" si="105"/>
        <v>0</v>
      </c>
      <c r="V112">
        <f t="shared" si="106"/>
        <v>0</v>
      </c>
      <c r="W112">
        <f t="shared" si="107"/>
        <v>0</v>
      </c>
      <c r="X112">
        <f t="shared" si="108"/>
        <v>0</v>
      </c>
      <c r="Y112">
        <f t="shared" si="109"/>
        <v>0</v>
      </c>
      <c r="AA112">
        <v>53860087</v>
      </c>
      <c r="AB112">
        <f t="shared" si="110"/>
        <v>27362.67</v>
      </c>
      <c r="AC112">
        <f t="shared" si="111"/>
        <v>27362.67</v>
      </c>
      <c r="AD112">
        <f>ROUND((((ET112)-(EU112))+AE112),6)</f>
        <v>0</v>
      </c>
      <c r="AE112">
        <f t="shared" ref="AE112:AF114" si="135">ROUND((EU112),6)</f>
        <v>0</v>
      </c>
      <c r="AF112">
        <f t="shared" si="135"/>
        <v>0</v>
      </c>
      <c r="AG112">
        <f t="shared" si="112"/>
        <v>0</v>
      </c>
      <c r="AH112">
        <f t="shared" ref="AH112:AI114" si="136">(EW112)</f>
        <v>0</v>
      </c>
      <c r="AI112">
        <f t="shared" si="136"/>
        <v>0</v>
      </c>
      <c r="AJ112">
        <f t="shared" si="113"/>
        <v>0</v>
      </c>
      <c r="AK112">
        <v>27362.67</v>
      </c>
      <c r="AL112">
        <v>27362.67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3.34</v>
      </c>
      <c r="BD112" t="s">
        <v>3</v>
      </c>
      <c r="BE112" t="s">
        <v>3</v>
      </c>
      <c r="BF112" t="s">
        <v>3</v>
      </c>
      <c r="BG112" t="s">
        <v>3</v>
      </c>
      <c r="BH112">
        <v>3</v>
      </c>
      <c r="BI112">
        <v>1</v>
      </c>
      <c r="BJ112" t="s">
        <v>275</v>
      </c>
      <c r="BM112">
        <v>126</v>
      </c>
      <c r="BN112">
        <v>36862081</v>
      </c>
      <c r="BO112" t="s">
        <v>273</v>
      </c>
      <c r="BP112">
        <v>1</v>
      </c>
      <c r="BQ112">
        <v>30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0</v>
      </c>
      <c r="CA112">
        <v>0</v>
      </c>
      <c r="CB112" t="s">
        <v>3</v>
      </c>
      <c r="CE112">
        <v>30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114"/>
        <v>3769.89</v>
      </c>
      <c r="CQ112">
        <f t="shared" si="115"/>
        <v>91391.32</v>
      </c>
      <c r="CR112">
        <f>(ROUND((ROUND(((ET112)*AV112*1),2)*BB112),2)+ROUND((ROUND(((AE112-(EU112))*AV112*1),2)*BS112),2))</f>
        <v>0</v>
      </c>
      <c r="CS112">
        <f t="shared" si="116"/>
        <v>0</v>
      </c>
      <c r="CT112">
        <f t="shared" si="117"/>
        <v>0</v>
      </c>
      <c r="CU112">
        <f t="shared" si="118"/>
        <v>0</v>
      </c>
      <c r="CV112">
        <f t="shared" si="119"/>
        <v>0</v>
      </c>
      <c r="CW112">
        <f t="shared" si="120"/>
        <v>0</v>
      </c>
      <c r="CX112">
        <f t="shared" si="121"/>
        <v>0</v>
      </c>
      <c r="CY112">
        <f t="shared" si="122"/>
        <v>0</v>
      </c>
      <c r="CZ112">
        <f t="shared" si="123"/>
        <v>0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100</v>
      </c>
      <c r="DO112">
        <v>64</v>
      </c>
      <c r="DP112">
        <v>1</v>
      </c>
      <c r="DQ112">
        <v>1</v>
      </c>
      <c r="DU112">
        <v>1009</v>
      </c>
      <c r="DV112" t="s">
        <v>75</v>
      </c>
      <c r="DW112" t="s">
        <v>75</v>
      </c>
      <c r="DX112">
        <v>1000</v>
      </c>
      <c r="DZ112" t="s">
        <v>3</v>
      </c>
      <c r="EA112" t="s">
        <v>3</v>
      </c>
      <c r="EB112" t="s">
        <v>3</v>
      </c>
      <c r="EC112" t="s">
        <v>3</v>
      </c>
      <c r="EE112">
        <v>53212875</v>
      </c>
      <c r="EF112">
        <v>30</v>
      </c>
      <c r="EG112" t="s">
        <v>37</v>
      </c>
      <c r="EH112">
        <v>0</v>
      </c>
      <c r="EI112" t="s">
        <v>3</v>
      </c>
      <c r="EJ112">
        <v>1</v>
      </c>
      <c r="EK112">
        <v>126</v>
      </c>
      <c r="EL112" t="s">
        <v>270</v>
      </c>
      <c r="EM112" t="s">
        <v>271</v>
      </c>
      <c r="EO112" t="s">
        <v>3</v>
      </c>
      <c r="EQ112">
        <v>0</v>
      </c>
      <c r="ER112">
        <v>27362.67</v>
      </c>
      <c r="ES112">
        <v>27362.67</v>
      </c>
      <c r="ET112">
        <v>0</v>
      </c>
      <c r="EU112">
        <v>0</v>
      </c>
      <c r="EV112">
        <v>0</v>
      </c>
      <c r="EW112">
        <v>0</v>
      </c>
      <c r="EX112">
        <v>0</v>
      </c>
      <c r="FQ112">
        <v>0</v>
      </c>
      <c r="FR112">
        <f t="shared" si="124"/>
        <v>0</v>
      </c>
      <c r="FS112">
        <v>0</v>
      </c>
      <c r="FX112">
        <v>100</v>
      </c>
      <c r="FY112">
        <v>64</v>
      </c>
      <c r="GA112" t="s">
        <v>3</v>
      </c>
      <c r="GD112">
        <v>0</v>
      </c>
      <c r="GF112">
        <v>-941944029</v>
      </c>
      <c r="GG112">
        <v>2</v>
      </c>
      <c r="GH112">
        <v>1</v>
      </c>
      <c r="GI112">
        <v>2</v>
      </c>
      <c r="GJ112">
        <v>0</v>
      </c>
      <c r="GK112">
        <f>ROUND(R112*(R12)/100,2)</f>
        <v>0</v>
      </c>
      <c r="GL112">
        <f t="shared" si="125"/>
        <v>0</v>
      </c>
      <c r="GM112">
        <f t="shared" si="126"/>
        <v>3769.89</v>
      </c>
      <c r="GN112">
        <f t="shared" si="127"/>
        <v>3769.89</v>
      </c>
      <c r="GO112">
        <f t="shared" si="128"/>
        <v>0</v>
      </c>
      <c r="GP112">
        <f t="shared" si="129"/>
        <v>0</v>
      </c>
      <c r="GR112">
        <v>0</v>
      </c>
      <c r="GS112">
        <v>3</v>
      </c>
      <c r="GT112">
        <v>0</v>
      </c>
      <c r="GU112" t="s">
        <v>3</v>
      </c>
      <c r="GV112">
        <f t="shared" si="130"/>
        <v>0</v>
      </c>
      <c r="GW112">
        <v>1</v>
      </c>
      <c r="GX112">
        <f t="shared" si="131"/>
        <v>0</v>
      </c>
      <c r="HA112">
        <v>0</v>
      </c>
      <c r="HB112">
        <v>0</v>
      </c>
      <c r="HC112">
        <f t="shared" si="132"/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18</v>
      </c>
      <c r="B113">
        <v>1</v>
      </c>
      <c r="C113">
        <v>107</v>
      </c>
      <c r="E113" t="s">
        <v>276</v>
      </c>
      <c r="F113" t="s">
        <v>277</v>
      </c>
      <c r="G113" t="s">
        <v>278</v>
      </c>
      <c r="H113" t="s">
        <v>75</v>
      </c>
      <c r="I113">
        <f>I111*J113</f>
        <v>0.28125</v>
      </c>
      <c r="J113">
        <v>0.375</v>
      </c>
      <c r="K113">
        <v>0.375</v>
      </c>
      <c r="O113">
        <f t="shared" si="100"/>
        <v>3518.61</v>
      </c>
      <c r="P113">
        <f t="shared" si="101"/>
        <v>3518.61</v>
      </c>
      <c r="Q113">
        <f>(ROUND((ROUND(((ET113)*AV113*I113),2)*BB113),2)+ROUND((ROUND(((AE113-(EU113))*AV113*I113),2)*BS113),2))</f>
        <v>0</v>
      </c>
      <c r="R113">
        <f t="shared" si="102"/>
        <v>0</v>
      </c>
      <c r="S113">
        <f t="shared" si="103"/>
        <v>0</v>
      </c>
      <c r="T113">
        <f t="shared" si="104"/>
        <v>0</v>
      </c>
      <c r="U113">
        <f t="shared" si="105"/>
        <v>0</v>
      </c>
      <c r="V113">
        <f t="shared" si="106"/>
        <v>0</v>
      </c>
      <c r="W113">
        <f t="shared" si="107"/>
        <v>0</v>
      </c>
      <c r="X113">
        <f t="shared" si="108"/>
        <v>0</v>
      </c>
      <c r="Y113">
        <f t="shared" si="109"/>
        <v>0</v>
      </c>
      <c r="AA113">
        <v>53860087</v>
      </c>
      <c r="AB113">
        <f t="shared" si="110"/>
        <v>3971.63</v>
      </c>
      <c r="AC113">
        <f t="shared" si="111"/>
        <v>3971.63</v>
      </c>
      <c r="AD113">
        <f>ROUND((((ET113)-(EU113))+AE113),6)</f>
        <v>0</v>
      </c>
      <c r="AE113">
        <f t="shared" si="135"/>
        <v>0</v>
      </c>
      <c r="AF113">
        <f t="shared" si="135"/>
        <v>0</v>
      </c>
      <c r="AG113">
        <f t="shared" si="112"/>
        <v>0</v>
      </c>
      <c r="AH113">
        <f t="shared" si="136"/>
        <v>0</v>
      </c>
      <c r="AI113">
        <f t="shared" si="136"/>
        <v>0</v>
      </c>
      <c r="AJ113">
        <f t="shared" si="113"/>
        <v>0</v>
      </c>
      <c r="AK113">
        <v>3971.63</v>
      </c>
      <c r="AL113">
        <v>3971.63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3.15</v>
      </c>
      <c r="BD113" t="s">
        <v>3</v>
      </c>
      <c r="BE113" t="s">
        <v>3</v>
      </c>
      <c r="BF113" t="s">
        <v>3</v>
      </c>
      <c r="BG113" t="s">
        <v>3</v>
      </c>
      <c r="BH113">
        <v>3</v>
      </c>
      <c r="BI113">
        <v>1</v>
      </c>
      <c r="BJ113" t="s">
        <v>279</v>
      </c>
      <c r="BM113">
        <v>126</v>
      </c>
      <c r="BN113">
        <v>36862081</v>
      </c>
      <c r="BO113" t="s">
        <v>277</v>
      </c>
      <c r="BP113">
        <v>1</v>
      </c>
      <c r="BQ113">
        <v>30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0</v>
      </c>
      <c r="CA113">
        <v>0</v>
      </c>
      <c r="CB113" t="s">
        <v>3</v>
      </c>
      <c r="CE113">
        <v>30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114"/>
        <v>3518.61</v>
      </c>
      <c r="CQ113">
        <f t="shared" si="115"/>
        <v>12510.63</v>
      </c>
      <c r="CR113">
        <f>(ROUND((ROUND(((ET113)*AV113*1),2)*BB113),2)+ROUND((ROUND(((AE113-(EU113))*AV113*1),2)*BS113),2))</f>
        <v>0</v>
      </c>
      <c r="CS113">
        <f t="shared" si="116"/>
        <v>0</v>
      </c>
      <c r="CT113">
        <f t="shared" si="117"/>
        <v>0</v>
      </c>
      <c r="CU113">
        <f t="shared" si="118"/>
        <v>0</v>
      </c>
      <c r="CV113">
        <f t="shared" si="119"/>
        <v>0</v>
      </c>
      <c r="CW113">
        <f t="shared" si="120"/>
        <v>0</v>
      </c>
      <c r="CX113">
        <f t="shared" si="121"/>
        <v>0</v>
      </c>
      <c r="CY113">
        <f t="shared" si="122"/>
        <v>0</v>
      </c>
      <c r="CZ113">
        <f t="shared" si="123"/>
        <v>0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100</v>
      </c>
      <c r="DO113">
        <v>64</v>
      </c>
      <c r="DP113">
        <v>1</v>
      </c>
      <c r="DQ113">
        <v>1</v>
      </c>
      <c r="DU113">
        <v>1009</v>
      </c>
      <c r="DV113" t="s">
        <v>75</v>
      </c>
      <c r="DW113" t="s">
        <v>75</v>
      </c>
      <c r="DX113">
        <v>1000</v>
      </c>
      <c r="DZ113" t="s">
        <v>3</v>
      </c>
      <c r="EA113" t="s">
        <v>3</v>
      </c>
      <c r="EB113" t="s">
        <v>3</v>
      </c>
      <c r="EC113" t="s">
        <v>3</v>
      </c>
      <c r="EE113">
        <v>53212875</v>
      </c>
      <c r="EF113">
        <v>30</v>
      </c>
      <c r="EG113" t="s">
        <v>37</v>
      </c>
      <c r="EH113">
        <v>0</v>
      </c>
      <c r="EI113" t="s">
        <v>3</v>
      </c>
      <c r="EJ113">
        <v>1</v>
      </c>
      <c r="EK113">
        <v>126</v>
      </c>
      <c r="EL113" t="s">
        <v>270</v>
      </c>
      <c r="EM113" t="s">
        <v>271</v>
      </c>
      <c r="EO113" t="s">
        <v>3</v>
      </c>
      <c r="EQ113">
        <v>0</v>
      </c>
      <c r="ER113">
        <v>3971.63</v>
      </c>
      <c r="ES113">
        <v>3971.63</v>
      </c>
      <c r="ET113">
        <v>0</v>
      </c>
      <c r="EU113">
        <v>0</v>
      </c>
      <c r="EV113">
        <v>0</v>
      </c>
      <c r="EW113">
        <v>0</v>
      </c>
      <c r="EX113">
        <v>0</v>
      </c>
      <c r="FQ113">
        <v>0</v>
      </c>
      <c r="FR113">
        <f t="shared" si="124"/>
        <v>0</v>
      </c>
      <c r="FS113">
        <v>0</v>
      </c>
      <c r="FX113">
        <v>100</v>
      </c>
      <c r="FY113">
        <v>64</v>
      </c>
      <c r="GA113" t="s">
        <v>3</v>
      </c>
      <c r="GD113">
        <v>0</v>
      </c>
      <c r="GF113">
        <v>709029648</v>
      </c>
      <c r="GG113">
        <v>2</v>
      </c>
      <c r="GH113">
        <v>1</v>
      </c>
      <c r="GI113">
        <v>2</v>
      </c>
      <c r="GJ113">
        <v>0</v>
      </c>
      <c r="GK113">
        <f>ROUND(R113*(R12)/100,2)</f>
        <v>0</v>
      </c>
      <c r="GL113">
        <f t="shared" si="125"/>
        <v>0</v>
      </c>
      <c r="GM113">
        <f t="shared" si="126"/>
        <v>3518.61</v>
      </c>
      <c r="GN113">
        <f t="shared" si="127"/>
        <v>3518.61</v>
      </c>
      <c r="GO113">
        <f t="shared" si="128"/>
        <v>0</v>
      </c>
      <c r="GP113">
        <f t="shared" si="129"/>
        <v>0</v>
      </c>
      <c r="GR113">
        <v>0</v>
      </c>
      <c r="GS113">
        <v>3</v>
      </c>
      <c r="GT113">
        <v>0</v>
      </c>
      <c r="GU113" t="s">
        <v>3</v>
      </c>
      <c r="GV113">
        <f t="shared" si="130"/>
        <v>0</v>
      </c>
      <c r="GW113">
        <v>1</v>
      </c>
      <c r="GX113">
        <f t="shared" si="131"/>
        <v>0</v>
      </c>
      <c r="HA113">
        <v>0</v>
      </c>
      <c r="HB113">
        <v>0</v>
      </c>
      <c r="HC113">
        <f t="shared" si="132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18</v>
      </c>
      <c r="B114">
        <v>1</v>
      </c>
      <c r="C114">
        <v>105</v>
      </c>
      <c r="E114" t="s">
        <v>280</v>
      </c>
      <c r="F114" t="s">
        <v>281</v>
      </c>
      <c r="G114" t="s">
        <v>282</v>
      </c>
      <c r="H114" t="s">
        <v>100</v>
      </c>
      <c r="I114">
        <f>I111*J114</f>
        <v>75</v>
      </c>
      <c r="J114">
        <v>100</v>
      </c>
      <c r="K114">
        <v>100</v>
      </c>
      <c r="O114">
        <f t="shared" si="100"/>
        <v>54212.87</v>
      </c>
      <c r="P114">
        <f t="shared" si="101"/>
        <v>54212.87</v>
      </c>
      <c r="Q114">
        <f>(ROUND((ROUND(((ET114)*AV114*I114),2)*BB114),2)+ROUND((ROUND(((AE114-(EU114))*AV114*I114),2)*BS114),2))</f>
        <v>0</v>
      </c>
      <c r="R114">
        <f t="shared" si="102"/>
        <v>0</v>
      </c>
      <c r="S114">
        <f t="shared" si="103"/>
        <v>0</v>
      </c>
      <c r="T114">
        <f t="shared" si="104"/>
        <v>0</v>
      </c>
      <c r="U114">
        <f t="shared" si="105"/>
        <v>0</v>
      </c>
      <c r="V114">
        <f t="shared" si="106"/>
        <v>0</v>
      </c>
      <c r="W114">
        <f t="shared" si="107"/>
        <v>0</v>
      </c>
      <c r="X114">
        <f t="shared" si="108"/>
        <v>0</v>
      </c>
      <c r="Y114">
        <f t="shared" si="109"/>
        <v>0</v>
      </c>
      <c r="AA114">
        <v>53860087</v>
      </c>
      <c r="AB114">
        <f t="shared" si="110"/>
        <v>88.91</v>
      </c>
      <c r="AC114">
        <f t="shared" si="111"/>
        <v>88.91</v>
      </c>
      <c r="AD114">
        <f>ROUND((((ET114)-(EU114))+AE114),6)</f>
        <v>0</v>
      </c>
      <c r="AE114">
        <f t="shared" si="135"/>
        <v>0</v>
      </c>
      <c r="AF114">
        <f t="shared" si="135"/>
        <v>0</v>
      </c>
      <c r="AG114">
        <f t="shared" si="112"/>
        <v>0</v>
      </c>
      <c r="AH114">
        <f t="shared" si="136"/>
        <v>0</v>
      </c>
      <c r="AI114">
        <f t="shared" si="136"/>
        <v>0</v>
      </c>
      <c r="AJ114">
        <f t="shared" si="113"/>
        <v>0</v>
      </c>
      <c r="AK114">
        <v>88.91</v>
      </c>
      <c r="AL114">
        <v>88.91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8.1300000000000008</v>
      </c>
      <c r="BD114" t="s">
        <v>3</v>
      </c>
      <c r="BE114" t="s">
        <v>3</v>
      </c>
      <c r="BF114" t="s">
        <v>3</v>
      </c>
      <c r="BG114" t="s">
        <v>3</v>
      </c>
      <c r="BH114">
        <v>3</v>
      </c>
      <c r="BI114">
        <v>1</v>
      </c>
      <c r="BJ114" t="s">
        <v>283</v>
      </c>
      <c r="BM114">
        <v>126</v>
      </c>
      <c r="BN114">
        <v>36862081</v>
      </c>
      <c r="BO114" t="s">
        <v>281</v>
      </c>
      <c r="BP114">
        <v>1</v>
      </c>
      <c r="BQ114">
        <v>30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0</v>
      </c>
      <c r="CA114">
        <v>0</v>
      </c>
      <c r="CB114" t="s">
        <v>3</v>
      </c>
      <c r="CE114">
        <v>30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114"/>
        <v>54212.87</v>
      </c>
      <c r="CQ114">
        <f t="shared" si="115"/>
        <v>722.84</v>
      </c>
      <c r="CR114">
        <f>(ROUND((ROUND(((ET114)*AV114*1),2)*BB114),2)+ROUND((ROUND(((AE114-(EU114))*AV114*1),2)*BS114),2))</f>
        <v>0</v>
      </c>
      <c r="CS114">
        <f t="shared" si="116"/>
        <v>0</v>
      </c>
      <c r="CT114">
        <f t="shared" si="117"/>
        <v>0</v>
      </c>
      <c r="CU114">
        <f t="shared" si="118"/>
        <v>0</v>
      </c>
      <c r="CV114">
        <f t="shared" si="119"/>
        <v>0</v>
      </c>
      <c r="CW114">
        <f t="shared" si="120"/>
        <v>0</v>
      </c>
      <c r="CX114">
        <f t="shared" si="121"/>
        <v>0</v>
      </c>
      <c r="CY114">
        <f t="shared" si="122"/>
        <v>0</v>
      </c>
      <c r="CZ114">
        <f t="shared" si="123"/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100</v>
      </c>
      <c r="DO114">
        <v>64</v>
      </c>
      <c r="DP114">
        <v>1</v>
      </c>
      <c r="DQ114">
        <v>1</v>
      </c>
      <c r="DU114">
        <v>1005</v>
      </c>
      <c r="DV114" t="s">
        <v>100</v>
      </c>
      <c r="DW114" t="s">
        <v>100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53212875</v>
      </c>
      <c r="EF114">
        <v>30</v>
      </c>
      <c r="EG114" t="s">
        <v>37</v>
      </c>
      <c r="EH114">
        <v>0</v>
      </c>
      <c r="EI114" t="s">
        <v>3</v>
      </c>
      <c r="EJ114">
        <v>1</v>
      </c>
      <c r="EK114">
        <v>126</v>
      </c>
      <c r="EL114" t="s">
        <v>270</v>
      </c>
      <c r="EM114" t="s">
        <v>271</v>
      </c>
      <c r="EO114" t="s">
        <v>3</v>
      </c>
      <c r="EQ114">
        <v>0</v>
      </c>
      <c r="ER114">
        <v>88.91</v>
      </c>
      <c r="ES114">
        <v>88.91</v>
      </c>
      <c r="ET114">
        <v>0</v>
      </c>
      <c r="EU114">
        <v>0</v>
      </c>
      <c r="EV114">
        <v>0</v>
      </c>
      <c r="EW114">
        <v>0</v>
      </c>
      <c r="EX114">
        <v>0</v>
      </c>
      <c r="FQ114">
        <v>0</v>
      </c>
      <c r="FR114">
        <f t="shared" si="124"/>
        <v>0</v>
      </c>
      <c r="FS114">
        <v>0</v>
      </c>
      <c r="FX114">
        <v>100</v>
      </c>
      <c r="FY114">
        <v>64</v>
      </c>
      <c r="GA114" t="s">
        <v>3</v>
      </c>
      <c r="GD114">
        <v>0</v>
      </c>
      <c r="GF114">
        <v>-297236416</v>
      </c>
      <c r="GG114">
        <v>2</v>
      </c>
      <c r="GH114">
        <v>1</v>
      </c>
      <c r="GI114">
        <v>2</v>
      </c>
      <c r="GJ114">
        <v>0</v>
      </c>
      <c r="GK114">
        <f>ROUND(R114*(R12)/100,2)</f>
        <v>0</v>
      </c>
      <c r="GL114">
        <f t="shared" si="125"/>
        <v>0</v>
      </c>
      <c r="GM114">
        <f t="shared" si="126"/>
        <v>54212.87</v>
      </c>
      <c r="GN114">
        <f t="shared" si="127"/>
        <v>54212.87</v>
      </c>
      <c r="GO114">
        <f t="shared" si="128"/>
        <v>0</v>
      </c>
      <c r="GP114">
        <f t="shared" si="129"/>
        <v>0</v>
      </c>
      <c r="GR114">
        <v>0</v>
      </c>
      <c r="GS114">
        <v>3</v>
      </c>
      <c r="GT114">
        <v>0</v>
      </c>
      <c r="GU114" t="s">
        <v>3</v>
      </c>
      <c r="GV114">
        <f t="shared" si="130"/>
        <v>0</v>
      </c>
      <c r="GW114">
        <v>1</v>
      </c>
      <c r="GX114">
        <f t="shared" si="131"/>
        <v>0</v>
      </c>
      <c r="HA114">
        <v>0</v>
      </c>
      <c r="HB114">
        <v>0</v>
      </c>
      <c r="HC114">
        <f t="shared" si="132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C115">
        <f>ROW(SmtRes!A114)</f>
        <v>114</v>
      </c>
      <c r="D115">
        <f>ROW(EtalonRes!A188)</f>
        <v>188</v>
      </c>
      <c r="E115" t="s">
        <v>284</v>
      </c>
      <c r="F115" t="s">
        <v>285</v>
      </c>
      <c r="G115" t="s">
        <v>286</v>
      </c>
      <c r="H115" t="s">
        <v>63</v>
      </c>
      <c r="I115">
        <f>ROUND(150/100,9)</f>
        <v>1.5</v>
      </c>
      <c r="J115">
        <v>0</v>
      </c>
      <c r="K115">
        <f>ROUND(150/100,9)</f>
        <v>1.5</v>
      </c>
      <c r="O115">
        <f t="shared" si="100"/>
        <v>63131.11</v>
      </c>
      <c r="P115">
        <f t="shared" si="101"/>
        <v>8284.99</v>
      </c>
      <c r="Q115">
        <f>(ROUND((ROUND((((ET115*1.25))*AV115*I115),2)*BB115),2)+ROUND((ROUND(((AE115-((EU115*1.25)))*AV115*I115),2)*BS115),2))</f>
        <v>4896.67</v>
      </c>
      <c r="R115">
        <f t="shared" si="102"/>
        <v>3543.07</v>
      </c>
      <c r="S115">
        <f t="shared" si="103"/>
        <v>49949.45</v>
      </c>
      <c r="T115">
        <f t="shared" si="104"/>
        <v>0</v>
      </c>
      <c r="U115">
        <f t="shared" si="105"/>
        <v>127.64999999999999</v>
      </c>
      <c r="V115">
        <f t="shared" si="106"/>
        <v>0</v>
      </c>
      <c r="W115">
        <f t="shared" si="107"/>
        <v>0</v>
      </c>
      <c r="X115">
        <f t="shared" si="108"/>
        <v>41458.04</v>
      </c>
      <c r="Y115">
        <f t="shared" si="109"/>
        <v>20479.27</v>
      </c>
      <c r="AA115">
        <v>53860087</v>
      </c>
      <c r="AB115">
        <f t="shared" si="110"/>
        <v>1455.2325000000001</v>
      </c>
      <c r="AC115">
        <f t="shared" si="111"/>
        <v>194.07</v>
      </c>
      <c r="AD115">
        <f>ROUND(((((ET115*1.25))-((EU115*1.25)))+AE115),6)</f>
        <v>154.86250000000001</v>
      </c>
      <c r="AE115">
        <f>ROUND(((EU115*1.25)),6)</f>
        <v>78.474999999999994</v>
      </c>
      <c r="AF115">
        <f>ROUND(((EV115*1.15)),6)</f>
        <v>1106.3</v>
      </c>
      <c r="AG115">
        <f t="shared" si="112"/>
        <v>0</v>
      </c>
      <c r="AH115">
        <f>((EW115*1.15))</f>
        <v>85.1</v>
      </c>
      <c r="AI115">
        <f>((EX115*1.25))</f>
        <v>0</v>
      </c>
      <c r="AJ115">
        <f t="shared" si="113"/>
        <v>0</v>
      </c>
      <c r="AK115">
        <v>1279.96</v>
      </c>
      <c r="AL115">
        <v>194.07</v>
      </c>
      <c r="AM115">
        <v>123.89</v>
      </c>
      <c r="AN115">
        <v>62.78</v>
      </c>
      <c r="AO115">
        <v>962</v>
      </c>
      <c r="AP115">
        <v>0</v>
      </c>
      <c r="AQ115">
        <v>74</v>
      </c>
      <c r="AR115">
        <v>0</v>
      </c>
      <c r="AS115">
        <v>0</v>
      </c>
      <c r="AT115">
        <v>83</v>
      </c>
      <c r="AU115">
        <v>41</v>
      </c>
      <c r="AV115">
        <v>1</v>
      </c>
      <c r="AW115">
        <v>1</v>
      </c>
      <c r="AZ115">
        <v>1</v>
      </c>
      <c r="BA115">
        <v>30.1</v>
      </c>
      <c r="BB115">
        <v>21.08</v>
      </c>
      <c r="BC115">
        <v>28.46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287</v>
      </c>
      <c r="BM115">
        <v>115</v>
      </c>
      <c r="BN115">
        <v>36862081</v>
      </c>
      <c r="BO115" t="s">
        <v>285</v>
      </c>
      <c r="BP115">
        <v>1</v>
      </c>
      <c r="BQ115">
        <v>30</v>
      </c>
      <c r="BR115">
        <v>0</v>
      </c>
      <c r="BS115">
        <v>30.1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83</v>
      </c>
      <c r="CA115">
        <v>41</v>
      </c>
      <c r="CB115" t="s">
        <v>3</v>
      </c>
      <c r="CE115">
        <v>30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114"/>
        <v>63131.11</v>
      </c>
      <c r="CQ115">
        <f t="shared" si="115"/>
        <v>5523.23</v>
      </c>
      <c r="CR115">
        <f>(ROUND((ROUND((((ET115*1.25))*AV115*1),2)*BB115),2)+ROUND((ROUND(((AE115-((EU115*1.25)))*AV115*1),2)*BS115),2))</f>
        <v>3264.45</v>
      </c>
      <c r="CS115">
        <f t="shared" si="116"/>
        <v>2362.25</v>
      </c>
      <c r="CT115">
        <f t="shared" si="117"/>
        <v>33299.629999999997</v>
      </c>
      <c r="CU115">
        <f t="shared" si="118"/>
        <v>0</v>
      </c>
      <c r="CV115">
        <f t="shared" si="119"/>
        <v>85.1</v>
      </c>
      <c r="CW115">
        <f t="shared" si="120"/>
        <v>0</v>
      </c>
      <c r="CX115">
        <f t="shared" si="121"/>
        <v>0</v>
      </c>
      <c r="CY115">
        <f t="shared" si="122"/>
        <v>41458.043499999992</v>
      </c>
      <c r="CZ115">
        <f t="shared" si="123"/>
        <v>20479.274499999996</v>
      </c>
      <c r="DC115" t="s">
        <v>3</v>
      </c>
      <c r="DD115" t="s">
        <v>3</v>
      </c>
      <c r="DE115" t="s">
        <v>51</v>
      </c>
      <c r="DF115" t="s">
        <v>51</v>
      </c>
      <c r="DG115" t="s">
        <v>52</v>
      </c>
      <c r="DH115" t="s">
        <v>3</v>
      </c>
      <c r="DI115" t="s">
        <v>52</v>
      </c>
      <c r="DJ115" t="s">
        <v>51</v>
      </c>
      <c r="DK115" t="s">
        <v>3</v>
      </c>
      <c r="DL115" t="s">
        <v>3</v>
      </c>
      <c r="DM115" t="s">
        <v>3</v>
      </c>
      <c r="DN115">
        <v>100</v>
      </c>
      <c r="DO115">
        <v>64</v>
      </c>
      <c r="DP115">
        <v>1</v>
      </c>
      <c r="DQ115">
        <v>1</v>
      </c>
      <c r="DU115">
        <v>1013</v>
      </c>
      <c r="DV115" t="s">
        <v>63</v>
      </c>
      <c r="DW115" t="s">
        <v>63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53212864</v>
      </c>
      <c r="EF115">
        <v>30</v>
      </c>
      <c r="EG115" t="s">
        <v>37</v>
      </c>
      <c r="EH115">
        <v>0</v>
      </c>
      <c r="EI115" t="s">
        <v>3</v>
      </c>
      <c r="EJ115">
        <v>1</v>
      </c>
      <c r="EK115">
        <v>115</v>
      </c>
      <c r="EL115" t="s">
        <v>65</v>
      </c>
      <c r="EM115" t="s">
        <v>66</v>
      </c>
      <c r="EO115" t="s">
        <v>3</v>
      </c>
      <c r="EQ115">
        <v>0</v>
      </c>
      <c r="ER115">
        <v>1279.96</v>
      </c>
      <c r="ES115">
        <v>194.07</v>
      </c>
      <c r="ET115">
        <v>123.89</v>
      </c>
      <c r="EU115">
        <v>62.78</v>
      </c>
      <c r="EV115">
        <v>962</v>
      </c>
      <c r="EW115">
        <v>74</v>
      </c>
      <c r="EX115">
        <v>0</v>
      </c>
      <c r="EY115">
        <v>0</v>
      </c>
      <c r="FQ115">
        <v>0</v>
      </c>
      <c r="FR115">
        <f t="shared" si="124"/>
        <v>0</v>
      </c>
      <c r="FS115">
        <v>0</v>
      </c>
      <c r="FX115">
        <v>100</v>
      </c>
      <c r="FY115">
        <v>64</v>
      </c>
      <c r="GA115" t="s">
        <v>3</v>
      </c>
      <c r="GD115">
        <v>0</v>
      </c>
      <c r="GF115">
        <v>989222630</v>
      </c>
      <c r="GG115">
        <v>2</v>
      </c>
      <c r="GH115">
        <v>1</v>
      </c>
      <c r="GI115">
        <v>2</v>
      </c>
      <c r="GJ115">
        <v>0</v>
      </c>
      <c r="GK115">
        <f>ROUND(R115*(R12)/100,2)</f>
        <v>5668.91</v>
      </c>
      <c r="GL115">
        <f t="shared" si="125"/>
        <v>0</v>
      </c>
      <c r="GM115">
        <f t="shared" si="126"/>
        <v>130737.33</v>
      </c>
      <c r="GN115">
        <f t="shared" si="127"/>
        <v>130737.33</v>
      </c>
      <c r="GO115">
        <f t="shared" si="128"/>
        <v>0</v>
      </c>
      <c r="GP115">
        <f t="shared" si="129"/>
        <v>0</v>
      </c>
      <c r="GR115">
        <v>0</v>
      </c>
      <c r="GS115">
        <v>3</v>
      </c>
      <c r="GT115">
        <v>0</v>
      </c>
      <c r="GU115" t="s">
        <v>3</v>
      </c>
      <c r="GV115">
        <f t="shared" si="130"/>
        <v>0</v>
      </c>
      <c r="GW115">
        <v>1</v>
      </c>
      <c r="GX115">
        <f t="shared" si="131"/>
        <v>0</v>
      </c>
      <c r="HA115">
        <v>0</v>
      </c>
      <c r="HB115">
        <v>0</v>
      </c>
      <c r="HC115">
        <f t="shared" si="132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18</v>
      </c>
      <c r="B116">
        <v>1</v>
      </c>
      <c r="C116">
        <v>112</v>
      </c>
      <c r="E116" t="s">
        <v>288</v>
      </c>
      <c r="F116" t="s">
        <v>68</v>
      </c>
      <c r="G116" t="s">
        <v>69</v>
      </c>
      <c r="H116" t="s">
        <v>70</v>
      </c>
      <c r="I116">
        <f>I115*J116</f>
        <v>0.15708</v>
      </c>
      <c r="J116">
        <v>0.10471999999999999</v>
      </c>
      <c r="K116">
        <v>0.10471999999999999</v>
      </c>
      <c r="O116">
        <f t="shared" si="100"/>
        <v>6.66</v>
      </c>
      <c r="P116">
        <f t="shared" si="101"/>
        <v>6.66</v>
      </c>
      <c r="Q116">
        <f>(ROUND((ROUND(((ET116)*AV116*I116),2)*BB116),2)+ROUND((ROUND(((AE116-(EU116))*AV116*I116),2)*BS116),2))</f>
        <v>0</v>
      </c>
      <c r="R116">
        <f t="shared" si="102"/>
        <v>0</v>
      </c>
      <c r="S116">
        <f t="shared" si="103"/>
        <v>0</v>
      </c>
      <c r="T116">
        <f t="shared" si="104"/>
        <v>0</v>
      </c>
      <c r="U116">
        <f t="shared" si="105"/>
        <v>0</v>
      </c>
      <c r="V116">
        <f t="shared" si="106"/>
        <v>0</v>
      </c>
      <c r="W116">
        <f t="shared" si="107"/>
        <v>0</v>
      </c>
      <c r="X116">
        <f t="shared" si="108"/>
        <v>0</v>
      </c>
      <c r="Y116">
        <f t="shared" si="109"/>
        <v>0</v>
      </c>
      <c r="AA116">
        <v>53860087</v>
      </c>
      <c r="AB116">
        <f t="shared" si="110"/>
        <v>7.07</v>
      </c>
      <c r="AC116">
        <f t="shared" si="111"/>
        <v>7.07</v>
      </c>
      <c r="AD116">
        <f>ROUND((((ET116)-(EU116))+AE116),6)</f>
        <v>0</v>
      </c>
      <c r="AE116">
        <f t="shared" ref="AE116:AF118" si="137">ROUND((EU116),6)</f>
        <v>0</v>
      </c>
      <c r="AF116">
        <f t="shared" si="137"/>
        <v>0</v>
      </c>
      <c r="AG116">
        <f t="shared" si="112"/>
        <v>0</v>
      </c>
      <c r="AH116">
        <f t="shared" ref="AH116:AI118" si="138">(EW116)</f>
        <v>0</v>
      </c>
      <c r="AI116">
        <f t="shared" si="138"/>
        <v>0</v>
      </c>
      <c r="AJ116">
        <f t="shared" si="113"/>
        <v>0</v>
      </c>
      <c r="AK116">
        <v>7.07</v>
      </c>
      <c r="AL116">
        <v>7.07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6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1</v>
      </c>
      <c r="BJ116" t="s">
        <v>71</v>
      </c>
      <c r="BM116">
        <v>115</v>
      </c>
      <c r="BN116">
        <v>36862081</v>
      </c>
      <c r="BO116" t="s">
        <v>68</v>
      </c>
      <c r="BP116">
        <v>1</v>
      </c>
      <c r="BQ116">
        <v>30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0</v>
      </c>
      <c r="CA116">
        <v>0</v>
      </c>
      <c r="CB116" t="s">
        <v>3</v>
      </c>
      <c r="CE116">
        <v>30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114"/>
        <v>6.66</v>
      </c>
      <c r="CQ116">
        <f t="shared" si="115"/>
        <v>42.42</v>
      </c>
      <c r="CR116">
        <f>(ROUND((ROUND(((ET116)*AV116*1),2)*BB116),2)+ROUND((ROUND(((AE116-(EU116))*AV116*1),2)*BS116),2))</f>
        <v>0</v>
      </c>
      <c r="CS116">
        <f t="shared" si="116"/>
        <v>0</v>
      </c>
      <c r="CT116">
        <f t="shared" si="117"/>
        <v>0</v>
      </c>
      <c r="CU116">
        <f t="shared" si="118"/>
        <v>0</v>
      </c>
      <c r="CV116">
        <f t="shared" si="119"/>
        <v>0</v>
      </c>
      <c r="CW116">
        <f t="shared" si="120"/>
        <v>0</v>
      </c>
      <c r="CX116">
        <f t="shared" si="121"/>
        <v>0</v>
      </c>
      <c r="CY116">
        <f t="shared" si="122"/>
        <v>0</v>
      </c>
      <c r="CZ116">
        <f t="shared" si="123"/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100</v>
      </c>
      <c r="DO116">
        <v>64</v>
      </c>
      <c r="DP116">
        <v>1</v>
      </c>
      <c r="DQ116">
        <v>1</v>
      </c>
      <c r="DU116">
        <v>1007</v>
      </c>
      <c r="DV116" t="s">
        <v>70</v>
      </c>
      <c r="DW116" t="s">
        <v>70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53212864</v>
      </c>
      <c r="EF116">
        <v>30</v>
      </c>
      <c r="EG116" t="s">
        <v>37</v>
      </c>
      <c r="EH116">
        <v>0</v>
      </c>
      <c r="EI116" t="s">
        <v>3</v>
      </c>
      <c r="EJ116">
        <v>1</v>
      </c>
      <c r="EK116">
        <v>115</v>
      </c>
      <c r="EL116" t="s">
        <v>65</v>
      </c>
      <c r="EM116" t="s">
        <v>66</v>
      </c>
      <c r="EO116" t="s">
        <v>3</v>
      </c>
      <c r="EQ116">
        <v>0</v>
      </c>
      <c r="ER116">
        <v>7.07</v>
      </c>
      <c r="ES116">
        <v>7.07</v>
      </c>
      <c r="ET116">
        <v>0</v>
      </c>
      <c r="EU116">
        <v>0</v>
      </c>
      <c r="EV116">
        <v>0</v>
      </c>
      <c r="EW116">
        <v>0</v>
      </c>
      <c r="EX116">
        <v>0</v>
      </c>
      <c r="FQ116">
        <v>0</v>
      </c>
      <c r="FR116">
        <f t="shared" si="124"/>
        <v>0</v>
      </c>
      <c r="FS116">
        <v>0</v>
      </c>
      <c r="FX116">
        <v>100</v>
      </c>
      <c r="FY116">
        <v>64</v>
      </c>
      <c r="GA116" t="s">
        <v>3</v>
      </c>
      <c r="GD116">
        <v>0</v>
      </c>
      <c r="GF116">
        <v>-862991314</v>
      </c>
      <c r="GG116">
        <v>2</v>
      </c>
      <c r="GH116">
        <v>1</v>
      </c>
      <c r="GI116">
        <v>2</v>
      </c>
      <c r="GJ116">
        <v>0</v>
      </c>
      <c r="GK116">
        <f>ROUND(R116*(R12)/100,2)</f>
        <v>0</v>
      </c>
      <c r="GL116">
        <f t="shared" si="125"/>
        <v>0</v>
      </c>
      <c r="GM116">
        <f t="shared" si="126"/>
        <v>6.66</v>
      </c>
      <c r="GN116">
        <f t="shared" si="127"/>
        <v>6.66</v>
      </c>
      <c r="GO116">
        <f t="shared" si="128"/>
        <v>0</v>
      </c>
      <c r="GP116">
        <f t="shared" si="129"/>
        <v>0</v>
      </c>
      <c r="GR116">
        <v>0</v>
      </c>
      <c r="GS116">
        <v>3</v>
      </c>
      <c r="GT116">
        <v>0</v>
      </c>
      <c r="GU116" t="s">
        <v>3</v>
      </c>
      <c r="GV116">
        <f t="shared" si="130"/>
        <v>0</v>
      </c>
      <c r="GW116">
        <v>1</v>
      </c>
      <c r="GX116">
        <f t="shared" si="131"/>
        <v>0</v>
      </c>
      <c r="HA116">
        <v>0</v>
      </c>
      <c r="HB116">
        <v>0</v>
      </c>
      <c r="HC116">
        <f t="shared" si="132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18</v>
      </c>
      <c r="B117">
        <v>1</v>
      </c>
      <c r="C117">
        <v>114</v>
      </c>
      <c r="E117" t="s">
        <v>289</v>
      </c>
      <c r="F117" t="s">
        <v>73</v>
      </c>
      <c r="G117" t="s">
        <v>74</v>
      </c>
      <c r="H117" t="s">
        <v>75</v>
      </c>
      <c r="I117">
        <f>I115*J117</f>
        <v>0.89759999999999995</v>
      </c>
      <c r="J117">
        <v>0.59839999999999993</v>
      </c>
      <c r="K117">
        <v>0.59840000000000004</v>
      </c>
      <c r="O117">
        <f t="shared" si="100"/>
        <v>10039.93</v>
      </c>
      <c r="P117">
        <f t="shared" si="101"/>
        <v>10039.93</v>
      </c>
      <c r="Q117">
        <f>(ROUND((ROUND(((ET117)*AV117*I117),2)*BB117),2)+ROUND((ROUND(((AE117-(EU117))*AV117*I117),2)*BS117),2))</f>
        <v>0</v>
      </c>
      <c r="R117">
        <f t="shared" si="102"/>
        <v>0</v>
      </c>
      <c r="S117">
        <f t="shared" si="103"/>
        <v>0</v>
      </c>
      <c r="T117">
        <f t="shared" si="104"/>
        <v>0</v>
      </c>
      <c r="U117">
        <f t="shared" si="105"/>
        <v>0</v>
      </c>
      <c r="V117">
        <f t="shared" si="106"/>
        <v>0</v>
      </c>
      <c r="W117">
        <f t="shared" si="107"/>
        <v>0</v>
      </c>
      <c r="X117">
        <f t="shared" si="108"/>
        <v>0</v>
      </c>
      <c r="Y117">
        <f t="shared" si="109"/>
        <v>0</v>
      </c>
      <c r="AA117">
        <v>53860087</v>
      </c>
      <c r="AB117">
        <f t="shared" si="110"/>
        <v>1517.68</v>
      </c>
      <c r="AC117">
        <f t="shared" si="111"/>
        <v>1517.68</v>
      </c>
      <c r="AD117">
        <f>ROUND((((ET117)-(EU117))+AE117),6)</f>
        <v>0</v>
      </c>
      <c r="AE117">
        <f t="shared" si="137"/>
        <v>0</v>
      </c>
      <c r="AF117">
        <f t="shared" si="137"/>
        <v>0</v>
      </c>
      <c r="AG117">
        <f t="shared" si="112"/>
        <v>0</v>
      </c>
      <c r="AH117">
        <f t="shared" si="138"/>
        <v>0</v>
      </c>
      <c r="AI117">
        <f t="shared" si="138"/>
        <v>0</v>
      </c>
      <c r="AJ117">
        <f t="shared" si="113"/>
        <v>0</v>
      </c>
      <c r="AK117">
        <v>1517.68</v>
      </c>
      <c r="AL117">
        <v>1517.68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7.37</v>
      </c>
      <c r="BD117" t="s">
        <v>3</v>
      </c>
      <c r="BE117" t="s">
        <v>3</v>
      </c>
      <c r="BF117" t="s">
        <v>3</v>
      </c>
      <c r="BG117" t="s">
        <v>3</v>
      </c>
      <c r="BH117">
        <v>3</v>
      </c>
      <c r="BI117">
        <v>1</v>
      </c>
      <c r="BJ117" t="s">
        <v>76</v>
      </c>
      <c r="BM117">
        <v>115</v>
      </c>
      <c r="BN117">
        <v>36862081</v>
      </c>
      <c r="BO117" t="s">
        <v>73</v>
      </c>
      <c r="BP117">
        <v>1</v>
      </c>
      <c r="BQ117">
        <v>30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0</v>
      </c>
      <c r="CA117">
        <v>0</v>
      </c>
      <c r="CB117" t="s">
        <v>3</v>
      </c>
      <c r="CE117">
        <v>30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114"/>
        <v>10039.93</v>
      </c>
      <c r="CQ117">
        <f t="shared" si="115"/>
        <v>11185.3</v>
      </c>
      <c r="CR117">
        <f>(ROUND((ROUND(((ET117)*AV117*1),2)*BB117),2)+ROUND((ROUND(((AE117-(EU117))*AV117*1),2)*BS117),2))</f>
        <v>0</v>
      </c>
      <c r="CS117">
        <f t="shared" si="116"/>
        <v>0</v>
      </c>
      <c r="CT117">
        <f t="shared" si="117"/>
        <v>0</v>
      </c>
      <c r="CU117">
        <f t="shared" si="118"/>
        <v>0</v>
      </c>
      <c r="CV117">
        <f t="shared" si="119"/>
        <v>0</v>
      </c>
      <c r="CW117">
        <f t="shared" si="120"/>
        <v>0</v>
      </c>
      <c r="CX117">
        <f t="shared" si="121"/>
        <v>0</v>
      </c>
      <c r="CY117">
        <f t="shared" si="122"/>
        <v>0</v>
      </c>
      <c r="CZ117">
        <f t="shared" si="123"/>
        <v>0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100</v>
      </c>
      <c r="DO117">
        <v>64</v>
      </c>
      <c r="DP117">
        <v>1</v>
      </c>
      <c r="DQ117">
        <v>1</v>
      </c>
      <c r="DU117">
        <v>1009</v>
      </c>
      <c r="DV117" t="s">
        <v>75</v>
      </c>
      <c r="DW117" t="s">
        <v>75</v>
      </c>
      <c r="DX117">
        <v>1000</v>
      </c>
      <c r="DZ117" t="s">
        <v>3</v>
      </c>
      <c r="EA117" t="s">
        <v>3</v>
      </c>
      <c r="EB117" t="s">
        <v>3</v>
      </c>
      <c r="EC117" t="s">
        <v>3</v>
      </c>
      <c r="EE117">
        <v>53212864</v>
      </c>
      <c r="EF117">
        <v>30</v>
      </c>
      <c r="EG117" t="s">
        <v>37</v>
      </c>
      <c r="EH117">
        <v>0</v>
      </c>
      <c r="EI117" t="s">
        <v>3</v>
      </c>
      <c r="EJ117">
        <v>1</v>
      </c>
      <c r="EK117">
        <v>115</v>
      </c>
      <c r="EL117" t="s">
        <v>65</v>
      </c>
      <c r="EM117" t="s">
        <v>66</v>
      </c>
      <c r="EO117" t="s">
        <v>3</v>
      </c>
      <c r="EQ117">
        <v>0</v>
      </c>
      <c r="ER117">
        <v>1517.68</v>
      </c>
      <c r="ES117">
        <v>1517.68</v>
      </c>
      <c r="ET117">
        <v>0</v>
      </c>
      <c r="EU117">
        <v>0</v>
      </c>
      <c r="EV117">
        <v>0</v>
      </c>
      <c r="EW117">
        <v>0</v>
      </c>
      <c r="EX117">
        <v>0</v>
      </c>
      <c r="FQ117">
        <v>0</v>
      </c>
      <c r="FR117">
        <f t="shared" si="124"/>
        <v>0</v>
      </c>
      <c r="FS117">
        <v>0</v>
      </c>
      <c r="FX117">
        <v>100</v>
      </c>
      <c r="FY117">
        <v>64</v>
      </c>
      <c r="GA117" t="s">
        <v>3</v>
      </c>
      <c r="GD117">
        <v>0</v>
      </c>
      <c r="GF117">
        <v>-1727448689</v>
      </c>
      <c r="GG117">
        <v>2</v>
      </c>
      <c r="GH117">
        <v>1</v>
      </c>
      <c r="GI117">
        <v>2</v>
      </c>
      <c r="GJ117">
        <v>0</v>
      </c>
      <c r="GK117">
        <f>ROUND(R117*(R12)/100,2)</f>
        <v>0</v>
      </c>
      <c r="GL117">
        <f t="shared" si="125"/>
        <v>0</v>
      </c>
      <c r="GM117">
        <f t="shared" si="126"/>
        <v>10039.93</v>
      </c>
      <c r="GN117">
        <f t="shared" si="127"/>
        <v>10039.93</v>
      </c>
      <c r="GO117">
        <f t="shared" si="128"/>
        <v>0</v>
      </c>
      <c r="GP117">
        <f t="shared" si="129"/>
        <v>0</v>
      </c>
      <c r="GR117">
        <v>0</v>
      </c>
      <c r="GS117">
        <v>3</v>
      </c>
      <c r="GT117">
        <v>0</v>
      </c>
      <c r="GU117" t="s">
        <v>3</v>
      </c>
      <c r="GV117">
        <f t="shared" si="130"/>
        <v>0</v>
      </c>
      <c r="GW117">
        <v>1</v>
      </c>
      <c r="GX117">
        <f t="shared" si="131"/>
        <v>0</v>
      </c>
      <c r="HA117">
        <v>0</v>
      </c>
      <c r="HB117">
        <v>0</v>
      </c>
      <c r="HC117">
        <f t="shared" si="132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18</v>
      </c>
      <c r="B118">
        <v>1</v>
      </c>
      <c r="C118">
        <v>113</v>
      </c>
      <c r="E118" t="s">
        <v>290</v>
      </c>
      <c r="F118" t="s">
        <v>78</v>
      </c>
      <c r="G118" t="s">
        <v>79</v>
      </c>
      <c r="H118" t="s">
        <v>70</v>
      </c>
      <c r="I118">
        <f>I115*J118</f>
        <v>2.2440000000000002</v>
      </c>
      <c r="J118">
        <v>1.4960000000000002</v>
      </c>
      <c r="K118">
        <v>1.496</v>
      </c>
      <c r="O118">
        <f t="shared" si="100"/>
        <v>10192.98</v>
      </c>
      <c r="P118">
        <f t="shared" si="101"/>
        <v>10192.98</v>
      </c>
      <c r="Q118">
        <f>(ROUND((ROUND(((ET118)*AV118*I118),2)*BB118),2)+ROUND((ROUND(((AE118-(EU118))*AV118*I118),2)*BS118),2))</f>
        <v>0</v>
      </c>
      <c r="R118">
        <f t="shared" si="102"/>
        <v>0</v>
      </c>
      <c r="S118">
        <f t="shared" si="103"/>
        <v>0</v>
      </c>
      <c r="T118">
        <f t="shared" si="104"/>
        <v>0</v>
      </c>
      <c r="U118">
        <f t="shared" si="105"/>
        <v>0</v>
      </c>
      <c r="V118">
        <f t="shared" si="106"/>
        <v>0</v>
      </c>
      <c r="W118">
        <f t="shared" si="107"/>
        <v>0</v>
      </c>
      <c r="X118">
        <f t="shared" si="108"/>
        <v>0</v>
      </c>
      <c r="Y118">
        <f t="shared" si="109"/>
        <v>0</v>
      </c>
      <c r="AA118">
        <v>53860087</v>
      </c>
      <c r="AB118">
        <f t="shared" si="110"/>
        <v>481.69</v>
      </c>
      <c r="AC118">
        <f t="shared" si="111"/>
        <v>481.69</v>
      </c>
      <c r="AD118">
        <f>ROUND((((ET118)-(EU118))+AE118),6)</f>
        <v>0</v>
      </c>
      <c r="AE118">
        <f t="shared" si="137"/>
        <v>0</v>
      </c>
      <c r="AF118">
        <f t="shared" si="137"/>
        <v>0</v>
      </c>
      <c r="AG118">
        <f t="shared" si="112"/>
        <v>0</v>
      </c>
      <c r="AH118">
        <f t="shared" si="138"/>
        <v>0</v>
      </c>
      <c r="AI118">
        <f t="shared" si="138"/>
        <v>0</v>
      </c>
      <c r="AJ118">
        <f t="shared" si="113"/>
        <v>0</v>
      </c>
      <c r="AK118">
        <v>481.69</v>
      </c>
      <c r="AL118">
        <v>481.69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9.43</v>
      </c>
      <c r="BD118" t="s">
        <v>3</v>
      </c>
      <c r="BE118" t="s">
        <v>3</v>
      </c>
      <c r="BF118" t="s">
        <v>3</v>
      </c>
      <c r="BG118" t="s">
        <v>3</v>
      </c>
      <c r="BH118">
        <v>3</v>
      </c>
      <c r="BI118">
        <v>1</v>
      </c>
      <c r="BJ118" t="s">
        <v>80</v>
      </c>
      <c r="BM118">
        <v>115</v>
      </c>
      <c r="BN118">
        <v>36862081</v>
      </c>
      <c r="BO118" t="s">
        <v>78</v>
      </c>
      <c r="BP118">
        <v>1</v>
      </c>
      <c r="BQ118">
        <v>30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0</v>
      </c>
      <c r="CA118">
        <v>0</v>
      </c>
      <c r="CB118" t="s">
        <v>3</v>
      </c>
      <c r="CE118">
        <v>30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114"/>
        <v>10192.98</v>
      </c>
      <c r="CQ118">
        <f t="shared" si="115"/>
        <v>4542.34</v>
      </c>
      <c r="CR118">
        <f>(ROUND((ROUND(((ET118)*AV118*1),2)*BB118),2)+ROUND((ROUND(((AE118-(EU118))*AV118*1),2)*BS118),2))</f>
        <v>0</v>
      </c>
      <c r="CS118">
        <f t="shared" si="116"/>
        <v>0</v>
      </c>
      <c r="CT118">
        <f t="shared" si="117"/>
        <v>0</v>
      </c>
      <c r="CU118">
        <f t="shared" si="118"/>
        <v>0</v>
      </c>
      <c r="CV118">
        <f t="shared" si="119"/>
        <v>0</v>
      </c>
      <c r="CW118">
        <f t="shared" si="120"/>
        <v>0</v>
      </c>
      <c r="CX118">
        <f t="shared" si="121"/>
        <v>0</v>
      </c>
      <c r="CY118">
        <f t="shared" si="122"/>
        <v>0</v>
      </c>
      <c r="CZ118">
        <f t="shared" si="123"/>
        <v>0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100</v>
      </c>
      <c r="DO118">
        <v>64</v>
      </c>
      <c r="DP118">
        <v>1</v>
      </c>
      <c r="DQ118">
        <v>1</v>
      </c>
      <c r="DU118">
        <v>1007</v>
      </c>
      <c r="DV118" t="s">
        <v>70</v>
      </c>
      <c r="DW118" t="s">
        <v>70</v>
      </c>
      <c r="DX118">
        <v>1</v>
      </c>
      <c r="DZ118" t="s">
        <v>3</v>
      </c>
      <c r="EA118" t="s">
        <v>3</v>
      </c>
      <c r="EB118" t="s">
        <v>3</v>
      </c>
      <c r="EC118" t="s">
        <v>3</v>
      </c>
      <c r="EE118">
        <v>53212864</v>
      </c>
      <c r="EF118">
        <v>30</v>
      </c>
      <c r="EG118" t="s">
        <v>37</v>
      </c>
      <c r="EH118">
        <v>0</v>
      </c>
      <c r="EI118" t="s">
        <v>3</v>
      </c>
      <c r="EJ118">
        <v>1</v>
      </c>
      <c r="EK118">
        <v>115</v>
      </c>
      <c r="EL118" t="s">
        <v>65</v>
      </c>
      <c r="EM118" t="s">
        <v>66</v>
      </c>
      <c r="EO118" t="s">
        <v>3</v>
      </c>
      <c r="EQ118">
        <v>0</v>
      </c>
      <c r="ER118">
        <v>481.69</v>
      </c>
      <c r="ES118">
        <v>481.69</v>
      </c>
      <c r="ET118">
        <v>0</v>
      </c>
      <c r="EU118">
        <v>0</v>
      </c>
      <c r="EV118">
        <v>0</v>
      </c>
      <c r="EW118">
        <v>0</v>
      </c>
      <c r="EX118">
        <v>0</v>
      </c>
      <c r="FQ118">
        <v>0</v>
      </c>
      <c r="FR118">
        <f t="shared" si="124"/>
        <v>0</v>
      </c>
      <c r="FS118">
        <v>0</v>
      </c>
      <c r="FX118">
        <v>100</v>
      </c>
      <c r="FY118">
        <v>64</v>
      </c>
      <c r="GA118" t="s">
        <v>3</v>
      </c>
      <c r="GD118">
        <v>0</v>
      </c>
      <c r="GF118">
        <v>847230343</v>
      </c>
      <c r="GG118">
        <v>2</v>
      </c>
      <c r="GH118">
        <v>1</v>
      </c>
      <c r="GI118">
        <v>2</v>
      </c>
      <c r="GJ118">
        <v>0</v>
      </c>
      <c r="GK118">
        <f>ROUND(R118*(R12)/100,2)</f>
        <v>0</v>
      </c>
      <c r="GL118">
        <f t="shared" si="125"/>
        <v>0</v>
      </c>
      <c r="GM118">
        <f t="shared" si="126"/>
        <v>10192.98</v>
      </c>
      <c r="GN118">
        <f t="shared" si="127"/>
        <v>10192.98</v>
      </c>
      <c r="GO118">
        <f t="shared" si="128"/>
        <v>0</v>
      </c>
      <c r="GP118">
        <f t="shared" si="129"/>
        <v>0</v>
      </c>
      <c r="GR118">
        <v>0</v>
      </c>
      <c r="GS118">
        <v>3</v>
      </c>
      <c r="GT118">
        <v>0</v>
      </c>
      <c r="GU118" t="s">
        <v>3</v>
      </c>
      <c r="GV118">
        <f t="shared" si="130"/>
        <v>0</v>
      </c>
      <c r="GW118">
        <v>1</v>
      </c>
      <c r="GX118">
        <f t="shared" si="131"/>
        <v>0</v>
      </c>
      <c r="HA118">
        <v>0</v>
      </c>
      <c r="HB118">
        <v>0</v>
      </c>
      <c r="HC118">
        <f t="shared" si="132"/>
        <v>0</v>
      </c>
      <c r="HE118" t="s">
        <v>3</v>
      </c>
      <c r="HF118" t="s">
        <v>3</v>
      </c>
      <c r="HM118" t="s">
        <v>3</v>
      </c>
      <c r="HN118" t="s">
        <v>3</v>
      </c>
      <c r="HO118" t="s">
        <v>3</v>
      </c>
      <c r="HP118" t="s">
        <v>3</v>
      </c>
      <c r="HQ118" t="s">
        <v>3</v>
      </c>
      <c r="IK118">
        <v>0</v>
      </c>
    </row>
    <row r="119" spans="1:245" x14ac:dyDescent="0.2">
      <c r="A119">
        <v>17</v>
      </c>
      <c r="B119">
        <v>1</v>
      </c>
      <c r="C119">
        <f>ROW(SmtRes!A121)</f>
        <v>121</v>
      </c>
      <c r="D119">
        <f>ROW(EtalonRes!A195)</f>
        <v>195</v>
      </c>
      <c r="E119" t="s">
        <v>291</v>
      </c>
      <c r="F119" t="s">
        <v>292</v>
      </c>
      <c r="G119" t="s">
        <v>293</v>
      </c>
      <c r="H119" t="s">
        <v>28</v>
      </c>
      <c r="I119">
        <f>ROUND(150/100,9)</f>
        <v>1.5</v>
      </c>
      <c r="J119">
        <v>0</v>
      </c>
      <c r="K119">
        <f>ROUND(150/100,9)</f>
        <v>1.5</v>
      </c>
      <c r="O119">
        <f t="shared" si="100"/>
        <v>29822.37</v>
      </c>
      <c r="P119">
        <f t="shared" si="101"/>
        <v>3597.72</v>
      </c>
      <c r="Q119">
        <f>(ROUND((ROUND((((ET119*1.25))*AV119*I119),2)*BB119),2)+ROUND((ROUND(((AE119-((EU119*1.25)))*AV119*I119),2)*BS119),2))</f>
        <v>282.66000000000003</v>
      </c>
      <c r="R119">
        <f t="shared" si="102"/>
        <v>106.55</v>
      </c>
      <c r="S119">
        <f t="shared" si="103"/>
        <v>25941.99</v>
      </c>
      <c r="T119">
        <f t="shared" si="104"/>
        <v>0</v>
      </c>
      <c r="U119">
        <f t="shared" si="105"/>
        <v>75.141000000000005</v>
      </c>
      <c r="V119">
        <f t="shared" si="106"/>
        <v>0</v>
      </c>
      <c r="W119">
        <f t="shared" si="107"/>
        <v>0</v>
      </c>
      <c r="X119">
        <f t="shared" si="108"/>
        <v>21531.85</v>
      </c>
      <c r="Y119">
        <f t="shared" si="109"/>
        <v>10636.22</v>
      </c>
      <c r="AA119">
        <v>53860087</v>
      </c>
      <c r="AB119">
        <f t="shared" si="110"/>
        <v>1389.652</v>
      </c>
      <c r="AC119">
        <f t="shared" si="111"/>
        <v>799.49</v>
      </c>
      <c r="AD119">
        <f>ROUND(((((ET119*1.25))-((EU119*1.25)))+AE119),6)</f>
        <v>15.5875</v>
      </c>
      <c r="AE119">
        <f>ROUND(((EU119*1.25)),6)</f>
        <v>2.3624999999999998</v>
      </c>
      <c r="AF119">
        <f>ROUND(((EV119*1.15)),6)</f>
        <v>574.57449999999994</v>
      </c>
      <c r="AG119">
        <f t="shared" si="112"/>
        <v>0</v>
      </c>
      <c r="AH119">
        <f>((EW119*1.15))</f>
        <v>50.094000000000001</v>
      </c>
      <c r="AI119">
        <f>((EX119*1.25))</f>
        <v>0</v>
      </c>
      <c r="AJ119">
        <f t="shared" si="113"/>
        <v>0</v>
      </c>
      <c r="AK119">
        <v>1311.59</v>
      </c>
      <c r="AL119">
        <v>799.49</v>
      </c>
      <c r="AM119">
        <v>12.47</v>
      </c>
      <c r="AN119">
        <v>1.89</v>
      </c>
      <c r="AO119">
        <v>499.63</v>
      </c>
      <c r="AP119">
        <v>0</v>
      </c>
      <c r="AQ119">
        <v>43.56</v>
      </c>
      <c r="AR119">
        <v>0</v>
      </c>
      <c r="AS119">
        <v>0</v>
      </c>
      <c r="AT119">
        <v>83</v>
      </c>
      <c r="AU119">
        <v>41</v>
      </c>
      <c r="AV119">
        <v>1</v>
      </c>
      <c r="AW119">
        <v>1</v>
      </c>
      <c r="AZ119">
        <v>1</v>
      </c>
      <c r="BA119">
        <v>30.1</v>
      </c>
      <c r="BB119">
        <v>12.09</v>
      </c>
      <c r="BC119">
        <v>3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1</v>
      </c>
      <c r="BJ119" t="s">
        <v>294</v>
      </c>
      <c r="BM119">
        <v>2087</v>
      </c>
      <c r="BN119">
        <v>36862081</v>
      </c>
      <c r="BO119" t="s">
        <v>292</v>
      </c>
      <c r="BP119">
        <v>1</v>
      </c>
      <c r="BQ119">
        <v>30</v>
      </c>
      <c r="BR119">
        <v>0</v>
      </c>
      <c r="BS119">
        <v>30.1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83</v>
      </c>
      <c r="CA119">
        <v>41</v>
      </c>
      <c r="CB119" t="s">
        <v>3</v>
      </c>
      <c r="CE119">
        <v>30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114"/>
        <v>29822.370000000003</v>
      </c>
      <c r="CQ119">
        <f t="shared" si="115"/>
        <v>2398.4699999999998</v>
      </c>
      <c r="CR119">
        <f>(ROUND((ROUND((((ET119*1.25))*AV119*1),2)*BB119),2)+ROUND((ROUND(((AE119-((EU119*1.25)))*AV119*1),2)*BS119),2))</f>
        <v>188.48</v>
      </c>
      <c r="CS119">
        <f t="shared" si="116"/>
        <v>71.040000000000006</v>
      </c>
      <c r="CT119">
        <f t="shared" si="117"/>
        <v>17294.560000000001</v>
      </c>
      <c r="CU119">
        <f t="shared" si="118"/>
        <v>0</v>
      </c>
      <c r="CV119">
        <f t="shared" si="119"/>
        <v>50.094000000000001</v>
      </c>
      <c r="CW119">
        <f t="shared" si="120"/>
        <v>0</v>
      </c>
      <c r="CX119">
        <f t="shared" si="121"/>
        <v>0</v>
      </c>
      <c r="CY119">
        <f t="shared" si="122"/>
        <v>21531.851699999999</v>
      </c>
      <c r="CZ119">
        <f t="shared" si="123"/>
        <v>10636.215899999999</v>
      </c>
      <c r="DC119" t="s">
        <v>3</v>
      </c>
      <c r="DD119" t="s">
        <v>3</v>
      </c>
      <c r="DE119" t="s">
        <v>51</v>
      </c>
      <c r="DF119" t="s">
        <v>51</v>
      </c>
      <c r="DG119" t="s">
        <v>52</v>
      </c>
      <c r="DH119" t="s">
        <v>3</v>
      </c>
      <c r="DI119" t="s">
        <v>52</v>
      </c>
      <c r="DJ119" t="s">
        <v>51</v>
      </c>
      <c r="DK119" t="s">
        <v>3</v>
      </c>
      <c r="DL119" t="s">
        <v>3</v>
      </c>
      <c r="DM119" t="s">
        <v>3</v>
      </c>
      <c r="DN119">
        <v>100</v>
      </c>
      <c r="DO119">
        <v>64</v>
      </c>
      <c r="DP119">
        <v>1</v>
      </c>
      <c r="DQ119">
        <v>1</v>
      </c>
      <c r="DU119">
        <v>1005</v>
      </c>
      <c r="DV119" t="s">
        <v>28</v>
      </c>
      <c r="DW119" t="s">
        <v>28</v>
      </c>
      <c r="DX119">
        <v>100</v>
      </c>
      <c r="DZ119" t="s">
        <v>3</v>
      </c>
      <c r="EA119" t="s">
        <v>3</v>
      </c>
      <c r="EB119" t="s">
        <v>3</v>
      </c>
      <c r="EC119" t="s">
        <v>3</v>
      </c>
      <c r="EE119">
        <v>53214868</v>
      </c>
      <c r="EF119">
        <v>30</v>
      </c>
      <c r="EG119" t="s">
        <v>37</v>
      </c>
      <c r="EH119">
        <v>0</v>
      </c>
      <c r="EI119" t="s">
        <v>3</v>
      </c>
      <c r="EJ119">
        <v>1</v>
      </c>
      <c r="EK119">
        <v>2087</v>
      </c>
      <c r="EL119" t="s">
        <v>146</v>
      </c>
      <c r="EM119" t="s">
        <v>147</v>
      </c>
      <c r="EO119" t="s">
        <v>3</v>
      </c>
      <c r="EQ119">
        <v>0</v>
      </c>
      <c r="ER119">
        <v>1311.59</v>
      </c>
      <c r="ES119">
        <v>799.49</v>
      </c>
      <c r="ET119">
        <v>12.47</v>
      </c>
      <c r="EU119">
        <v>1.89</v>
      </c>
      <c r="EV119">
        <v>499.63</v>
      </c>
      <c r="EW119">
        <v>43.56</v>
      </c>
      <c r="EX119">
        <v>0</v>
      </c>
      <c r="EY119">
        <v>0</v>
      </c>
      <c r="FQ119">
        <v>0</v>
      </c>
      <c r="FR119">
        <f t="shared" si="124"/>
        <v>0</v>
      </c>
      <c r="FS119">
        <v>0</v>
      </c>
      <c r="FX119">
        <v>100</v>
      </c>
      <c r="FY119">
        <v>64</v>
      </c>
      <c r="GA119" t="s">
        <v>3</v>
      </c>
      <c r="GD119">
        <v>0</v>
      </c>
      <c r="GF119">
        <v>-1404964615</v>
      </c>
      <c r="GG119">
        <v>2</v>
      </c>
      <c r="GH119">
        <v>1</v>
      </c>
      <c r="GI119">
        <v>2</v>
      </c>
      <c r="GJ119">
        <v>0</v>
      </c>
      <c r="GK119">
        <f>ROUND(R119*(R12)/100,2)</f>
        <v>170.48</v>
      </c>
      <c r="GL119">
        <f t="shared" si="125"/>
        <v>0</v>
      </c>
      <c r="GM119">
        <f t="shared" si="126"/>
        <v>62160.92</v>
      </c>
      <c r="GN119">
        <f t="shared" si="127"/>
        <v>62160.92</v>
      </c>
      <c r="GO119">
        <f t="shared" si="128"/>
        <v>0</v>
      </c>
      <c r="GP119">
        <f t="shared" si="129"/>
        <v>0</v>
      </c>
      <c r="GR119">
        <v>0</v>
      </c>
      <c r="GS119">
        <v>3</v>
      </c>
      <c r="GT119">
        <v>0</v>
      </c>
      <c r="GU119" t="s">
        <v>3</v>
      </c>
      <c r="GV119">
        <f t="shared" si="130"/>
        <v>0</v>
      </c>
      <c r="GW119">
        <v>1</v>
      </c>
      <c r="GX119">
        <f t="shared" si="131"/>
        <v>0</v>
      </c>
      <c r="HA119">
        <v>0</v>
      </c>
      <c r="HB119">
        <v>0</v>
      </c>
      <c r="HC119">
        <f t="shared" si="132"/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IK119">
        <v>0</v>
      </c>
    </row>
    <row r="120" spans="1:245" x14ac:dyDescent="0.2">
      <c r="A120">
        <v>18</v>
      </c>
      <c r="B120">
        <v>1</v>
      </c>
      <c r="C120">
        <v>120</v>
      </c>
      <c r="E120" t="s">
        <v>295</v>
      </c>
      <c r="F120" t="s">
        <v>56</v>
      </c>
      <c r="G120" t="s">
        <v>57</v>
      </c>
      <c r="H120" t="s">
        <v>58</v>
      </c>
      <c r="I120">
        <f>I119*J120</f>
        <v>30</v>
      </c>
      <c r="J120">
        <v>20</v>
      </c>
      <c r="K120">
        <v>20</v>
      </c>
      <c r="O120">
        <f t="shared" si="100"/>
        <v>3112.45</v>
      </c>
      <c r="P120">
        <f t="shared" si="101"/>
        <v>3112.45</v>
      </c>
      <c r="Q120">
        <f>(ROUND((ROUND(((ET120)*AV120*I120),2)*BB120),2)+ROUND((ROUND(((AE120-(EU120))*AV120*I120),2)*BS120),2))</f>
        <v>0</v>
      </c>
      <c r="R120">
        <f t="shared" si="102"/>
        <v>0</v>
      </c>
      <c r="S120">
        <f t="shared" si="103"/>
        <v>0</v>
      </c>
      <c r="T120">
        <f t="shared" si="104"/>
        <v>0</v>
      </c>
      <c r="U120">
        <f t="shared" si="105"/>
        <v>0</v>
      </c>
      <c r="V120">
        <f t="shared" si="106"/>
        <v>0</v>
      </c>
      <c r="W120">
        <f t="shared" si="107"/>
        <v>0</v>
      </c>
      <c r="X120">
        <f t="shared" si="108"/>
        <v>0</v>
      </c>
      <c r="Y120">
        <f t="shared" si="109"/>
        <v>0</v>
      </c>
      <c r="AA120">
        <v>53860087</v>
      </c>
      <c r="AB120">
        <f t="shared" si="110"/>
        <v>28.98</v>
      </c>
      <c r="AC120">
        <f t="shared" si="111"/>
        <v>28.98</v>
      </c>
      <c r="AD120">
        <f>ROUND((((ET120)-(EU120))+AE120),6)</f>
        <v>0</v>
      </c>
      <c r="AE120">
        <f>ROUND((EU120),6)</f>
        <v>0</v>
      </c>
      <c r="AF120">
        <f>ROUND((EV120),6)</f>
        <v>0</v>
      </c>
      <c r="AG120">
        <f t="shared" si="112"/>
        <v>0</v>
      </c>
      <c r="AH120">
        <f>(EW120)</f>
        <v>0</v>
      </c>
      <c r="AI120">
        <f>(EX120)</f>
        <v>0</v>
      </c>
      <c r="AJ120">
        <f t="shared" si="113"/>
        <v>0</v>
      </c>
      <c r="AK120">
        <v>28.98</v>
      </c>
      <c r="AL120">
        <v>28.98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3.58</v>
      </c>
      <c r="BD120" t="s">
        <v>3</v>
      </c>
      <c r="BE120" t="s">
        <v>3</v>
      </c>
      <c r="BF120" t="s">
        <v>3</v>
      </c>
      <c r="BG120" t="s">
        <v>3</v>
      </c>
      <c r="BH120">
        <v>3</v>
      </c>
      <c r="BI120">
        <v>1</v>
      </c>
      <c r="BJ120" t="s">
        <v>59</v>
      </c>
      <c r="BM120">
        <v>2087</v>
      </c>
      <c r="BN120">
        <v>36862081</v>
      </c>
      <c r="BO120" t="s">
        <v>56</v>
      </c>
      <c r="BP120">
        <v>1</v>
      </c>
      <c r="BQ120">
        <v>30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0</v>
      </c>
      <c r="CA120">
        <v>0</v>
      </c>
      <c r="CB120" t="s">
        <v>3</v>
      </c>
      <c r="CE120">
        <v>30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114"/>
        <v>3112.45</v>
      </c>
      <c r="CQ120">
        <f t="shared" si="115"/>
        <v>103.75</v>
      </c>
      <c r="CR120">
        <f>(ROUND((ROUND(((ET120)*AV120*1),2)*BB120),2)+ROUND((ROUND(((AE120-(EU120))*AV120*1),2)*BS120),2))</f>
        <v>0</v>
      </c>
      <c r="CS120">
        <f t="shared" si="116"/>
        <v>0</v>
      </c>
      <c r="CT120">
        <f t="shared" si="117"/>
        <v>0</v>
      </c>
      <c r="CU120">
        <f t="shared" si="118"/>
        <v>0</v>
      </c>
      <c r="CV120">
        <f t="shared" si="119"/>
        <v>0</v>
      </c>
      <c r="CW120">
        <f t="shared" si="120"/>
        <v>0</v>
      </c>
      <c r="CX120">
        <f t="shared" si="121"/>
        <v>0</v>
      </c>
      <c r="CY120">
        <f t="shared" si="122"/>
        <v>0</v>
      </c>
      <c r="CZ120">
        <f t="shared" si="123"/>
        <v>0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100</v>
      </c>
      <c r="DO120">
        <v>64</v>
      </c>
      <c r="DP120">
        <v>1</v>
      </c>
      <c r="DQ120">
        <v>1</v>
      </c>
      <c r="DU120">
        <v>1009</v>
      </c>
      <c r="DV120" t="s">
        <v>58</v>
      </c>
      <c r="DW120" t="s">
        <v>58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53214868</v>
      </c>
      <c r="EF120">
        <v>30</v>
      </c>
      <c r="EG120" t="s">
        <v>37</v>
      </c>
      <c r="EH120">
        <v>0</v>
      </c>
      <c r="EI120" t="s">
        <v>3</v>
      </c>
      <c r="EJ120">
        <v>1</v>
      </c>
      <c r="EK120">
        <v>2087</v>
      </c>
      <c r="EL120" t="s">
        <v>146</v>
      </c>
      <c r="EM120" t="s">
        <v>147</v>
      </c>
      <c r="EO120" t="s">
        <v>3</v>
      </c>
      <c r="EQ120">
        <v>0</v>
      </c>
      <c r="ER120">
        <v>28.98</v>
      </c>
      <c r="ES120">
        <v>28.98</v>
      </c>
      <c r="ET120">
        <v>0</v>
      </c>
      <c r="EU120">
        <v>0</v>
      </c>
      <c r="EV120">
        <v>0</v>
      </c>
      <c r="EW120">
        <v>0</v>
      </c>
      <c r="EX120">
        <v>0</v>
      </c>
      <c r="FQ120">
        <v>0</v>
      </c>
      <c r="FR120">
        <f t="shared" si="124"/>
        <v>0</v>
      </c>
      <c r="FS120">
        <v>0</v>
      </c>
      <c r="FX120">
        <v>100</v>
      </c>
      <c r="FY120">
        <v>64</v>
      </c>
      <c r="GA120" t="s">
        <v>3</v>
      </c>
      <c r="GD120">
        <v>0</v>
      </c>
      <c r="GF120">
        <v>33071459</v>
      </c>
      <c r="GG120">
        <v>2</v>
      </c>
      <c r="GH120">
        <v>1</v>
      </c>
      <c r="GI120">
        <v>2</v>
      </c>
      <c r="GJ120">
        <v>0</v>
      </c>
      <c r="GK120">
        <f>ROUND(R120*(R12)/100,2)</f>
        <v>0</v>
      </c>
      <c r="GL120">
        <f t="shared" si="125"/>
        <v>0</v>
      </c>
      <c r="GM120">
        <f t="shared" si="126"/>
        <v>3112.45</v>
      </c>
      <c r="GN120">
        <f t="shared" si="127"/>
        <v>3112.45</v>
      </c>
      <c r="GO120">
        <f t="shared" si="128"/>
        <v>0</v>
      </c>
      <c r="GP120">
        <f t="shared" si="129"/>
        <v>0</v>
      </c>
      <c r="GR120">
        <v>0</v>
      </c>
      <c r="GS120">
        <v>3</v>
      </c>
      <c r="GT120">
        <v>0</v>
      </c>
      <c r="GU120" t="s">
        <v>3</v>
      </c>
      <c r="GV120">
        <f t="shared" si="130"/>
        <v>0</v>
      </c>
      <c r="GW120">
        <v>1</v>
      </c>
      <c r="GX120">
        <f t="shared" si="131"/>
        <v>0</v>
      </c>
      <c r="HA120">
        <v>0</v>
      </c>
      <c r="HB120">
        <v>0</v>
      </c>
      <c r="HC120">
        <f t="shared" si="132"/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IK120">
        <v>0</v>
      </c>
    </row>
    <row r="121" spans="1:245" x14ac:dyDescent="0.2">
      <c r="A121">
        <v>18</v>
      </c>
      <c r="B121">
        <v>1</v>
      </c>
      <c r="C121">
        <v>121</v>
      </c>
      <c r="E121" t="s">
        <v>296</v>
      </c>
      <c r="F121" t="s">
        <v>89</v>
      </c>
      <c r="G121" t="s">
        <v>976</v>
      </c>
      <c r="H121" t="s">
        <v>58</v>
      </c>
      <c r="I121">
        <f>I119*J121</f>
        <v>45</v>
      </c>
      <c r="J121">
        <v>30</v>
      </c>
      <c r="K121">
        <v>30</v>
      </c>
      <c r="O121">
        <f t="shared" si="100"/>
        <v>23089.73</v>
      </c>
      <c r="P121">
        <f t="shared" si="101"/>
        <v>23089.73</v>
      </c>
      <c r="Q121">
        <f>(ROUND((ROUND(((ET121)*AV121*I121),2)*BB121),2)+ROUND((ROUND(((AE121-(EU121))*AV121*I121),2)*BS121),2))</f>
        <v>0</v>
      </c>
      <c r="R121">
        <f t="shared" si="102"/>
        <v>0</v>
      </c>
      <c r="S121">
        <f t="shared" si="103"/>
        <v>0</v>
      </c>
      <c r="T121">
        <f t="shared" si="104"/>
        <v>0</v>
      </c>
      <c r="U121">
        <f t="shared" si="105"/>
        <v>0</v>
      </c>
      <c r="V121">
        <f t="shared" si="106"/>
        <v>0</v>
      </c>
      <c r="W121">
        <f t="shared" si="107"/>
        <v>0</v>
      </c>
      <c r="X121">
        <f t="shared" si="108"/>
        <v>0</v>
      </c>
      <c r="Y121">
        <f t="shared" si="109"/>
        <v>0</v>
      </c>
      <c r="AA121">
        <v>53860087</v>
      </c>
      <c r="AB121">
        <f t="shared" si="110"/>
        <v>108.25</v>
      </c>
      <c r="AC121">
        <f t="shared" si="111"/>
        <v>108.25</v>
      </c>
      <c r="AD121">
        <f>ROUND((((ET121)-(EU121))+AE121),6)</f>
        <v>0</v>
      </c>
      <c r="AE121">
        <f>ROUND((EU121),6)</f>
        <v>0</v>
      </c>
      <c r="AF121">
        <f>ROUND((EV121),6)</f>
        <v>0</v>
      </c>
      <c r="AG121">
        <f t="shared" si="112"/>
        <v>0</v>
      </c>
      <c r="AH121">
        <f>(EW121)</f>
        <v>0</v>
      </c>
      <c r="AI121">
        <f>(EX121)</f>
        <v>0</v>
      </c>
      <c r="AJ121">
        <f t="shared" si="113"/>
        <v>0</v>
      </c>
      <c r="AK121">
        <v>108.25</v>
      </c>
      <c r="AL121">
        <v>108.25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4.74</v>
      </c>
      <c r="BD121" t="s">
        <v>3</v>
      </c>
      <c r="BE121" t="s">
        <v>3</v>
      </c>
      <c r="BF121" t="s">
        <v>3</v>
      </c>
      <c r="BG121" t="s">
        <v>3</v>
      </c>
      <c r="BH121">
        <v>3</v>
      </c>
      <c r="BI121">
        <v>1</v>
      </c>
      <c r="BJ121" t="s">
        <v>90</v>
      </c>
      <c r="BM121">
        <v>2087</v>
      </c>
      <c r="BN121">
        <v>36862081</v>
      </c>
      <c r="BO121" t="s">
        <v>89</v>
      </c>
      <c r="BP121">
        <v>1</v>
      </c>
      <c r="BQ121">
        <v>30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0</v>
      </c>
      <c r="CA121">
        <v>0</v>
      </c>
      <c r="CB121" t="s">
        <v>3</v>
      </c>
      <c r="CE121">
        <v>30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14"/>
        <v>23089.73</v>
      </c>
      <c r="CQ121">
        <f t="shared" si="115"/>
        <v>513.11</v>
      </c>
      <c r="CR121">
        <f>(ROUND((ROUND(((ET121)*AV121*1),2)*BB121),2)+ROUND((ROUND(((AE121-(EU121))*AV121*1),2)*BS121),2))</f>
        <v>0</v>
      </c>
      <c r="CS121">
        <f t="shared" si="116"/>
        <v>0</v>
      </c>
      <c r="CT121">
        <f t="shared" si="117"/>
        <v>0</v>
      </c>
      <c r="CU121">
        <f t="shared" si="118"/>
        <v>0</v>
      </c>
      <c r="CV121">
        <f t="shared" si="119"/>
        <v>0</v>
      </c>
      <c r="CW121">
        <f t="shared" si="120"/>
        <v>0</v>
      </c>
      <c r="CX121">
        <f t="shared" si="121"/>
        <v>0</v>
      </c>
      <c r="CY121">
        <f t="shared" si="122"/>
        <v>0</v>
      </c>
      <c r="CZ121">
        <f t="shared" si="123"/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100</v>
      </c>
      <c r="DO121">
        <v>64</v>
      </c>
      <c r="DP121">
        <v>1</v>
      </c>
      <c r="DQ121">
        <v>1</v>
      </c>
      <c r="DU121">
        <v>1009</v>
      </c>
      <c r="DV121" t="s">
        <v>58</v>
      </c>
      <c r="DW121" t="s">
        <v>58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53214868</v>
      </c>
      <c r="EF121">
        <v>30</v>
      </c>
      <c r="EG121" t="s">
        <v>37</v>
      </c>
      <c r="EH121">
        <v>0</v>
      </c>
      <c r="EI121" t="s">
        <v>3</v>
      </c>
      <c r="EJ121">
        <v>1</v>
      </c>
      <c r="EK121">
        <v>2087</v>
      </c>
      <c r="EL121" t="s">
        <v>146</v>
      </c>
      <c r="EM121" t="s">
        <v>147</v>
      </c>
      <c r="EO121" t="s">
        <v>3</v>
      </c>
      <c r="EQ121">
        <v>0</v>
      </c>
      <c r="ER121">
        <v>108.25</v>
      </c>
      <c r="ES121">
        <v>108.25</v>
      </c>
      <c r="ET121">
        <v>0</v>
      </c>
      <c r="EU121">
        <v>0</v>
      </c>
      <c r="EV121">
        <v>0</v>
      </c>
      <c r="EW121">
        <v>0</v>
      </c>
      <c r="EX121">
        <v>0</v>
      </c>
      <c r="FQ121">
        <v>0</v>
      </c>
      <c r="FR121">
        <f t="shared" si="124"/>
        <v>0</v>
      </c>
      <c r="FS121">
        <v>0</v>
      </c>
      <c r="FX121">
        <v>100</v>
      </c>
      <c r="FY121">
        <v>64</v>
      </c>
      <c r="GA121" t="s">
        <v>3</v>
      </c>
      <c r="GD121">
        <v>0</v>
      </c>
      <c r="GF121">
        <v>-1515598087</v>
      </c>
      <c r="GG121">
        <v>2</v>
      </c>
      <c r="GH121">
        <v>1</v>
      </c>
      <c r="GI121">
        <v>2</v>
      </c>
      <c r="GJ121">
        <v>0</v>
      </c>
      <c r="GK121">
        <f>ROUND(R121*(R12)/100,2)</f>
        <v>0</v>
      </c>
      <c r="GL121">
        <f t="shared" si="125"/>
        <v>0</v>
      </c>
      <c r="GM121">
        <f t="shared" si="126"/>
        <v>23089.73</v>
      </c>
      <c r="GN121">
        <f t="shared" si="127"/>
        <v>23089.73</v>
      </c>
      <c r="GO121">
        <f t="shared" si="128"/>
        <v>0</v>
      </c>
      <c r="GP121">
        <f t="shared" si="129"/>
        <v>0</v>
      </c>
      <c r="GR121">
        <v>0</v>
      </c>
      <c r="GS121">
        <v>3</v>
      </c>
      <c r="GT121">
        <v>0</v>
      </c>
      <c r="GU121" t="s">
        <v>3</v>
      </c>
      <c r="GV121">
        <f t="shared" si="130"/>
        <v>0</v>
      </c>
      <c r="GW121">
        <v>1</v>
      </c>
      <c r="GX121">
        <f t="shared" si="131"/>
        <v>0</v>
      </c>
      <c r="HA121">
        <v>0</v>
      </c>
      <c r="HB121">
        <v>0</v>
      </c>
      <c r="HC121">
        <f t="shared" si="132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IK121">
        <v>0</v>
      </c>
    </row>
    <row r="122" spans="1:245" x14ac:dyDescent="0.2">
      <c r="A122">
        <v>17</v>
      </c>
      <c r="B122">
        <v>1</v>
      </c>
      <c r="C122">
        <f>ROW(SmtRes!A128)</f>
        <v>128</v>
      </c>
      <c r="D122">
        <f>ROW(EtalonRes!A205)</f>
        <v>205</v>
      </c>
      <c r="E122" t="s">
        <v>297</v>
      </c>
      <c r="F122" t="s">
        <v>298</v>
      </c>
      <c r="G122" t="s">
        <v>299</v>
      </c>
      <c r="H122" t="s">
        <v>300</v>
      </c>
      <c r="I122">
        <f>ROUND(55/100,9)</f>
        <v>0.55000000000000004</v>
      </c>
      <c r="J122">
        <v>0</v>
      </c>
      <c r="K122">
        <f>ROUND(55/100,9)</f>
        <v>0.55000000000000004</v>
      </c>
      <c r="O122">
        <f t="shared" si="100"/>
        <v>38634.120000000003</v>
      </c>
      <c r="P122">
        <f t="shared" si="101"/>
        <v>2334.9299999999998</v>
      </c>
      <c r="Q122">
        <f>(ROUND((ROUND((((ET122*1.25))*AV122*I122),2)*BB122),2)+ROUND((ROUND(((AE122-((EU122*1.25)))*AV122*I122),2)*BS122),2))</f>
        <v>96.72</v>
      </c>
      <c r="R122">
        <f t="shared" si="102"/>
        <v>36.72</v>
      </c>
      <c r="S122">
        <f t="shared" si="103"/>
        <v>36202.47</v>
      </c>
      <c r="T122">
        <f t="shared" si="104"/>
        <v>0</v>
      </c>
      <c r="U122">
        <f t="shared" si="105"/>
        <v>99.302499999999995</v>
      </c>
      <c r="V122">
        <f t="shared" si="106"/>
        <v>0</v>
      </c>
      <c r="W122">
        <f t="shared" si="107"/>
        <v>0</v>
      </c>
      <c r="X122">
        <f t="shared" si="108"/>
        <v>30048.05</v>
      </c>
      <c r="Y122">
        <f t="shared" si="109"/>
        <v>14843.01</v>
      </c>
      <c r="AA122">
        <v>53860087</v>
      </c>
      <c r="AB122">
        <f t="shared" si="110"/>
        <v>3273.393</v>
      </c>
      <c r="AC122">
        <f t="shared" si="111"/>
        <v>1072.05</v>
      </c>
      <c r="AD122">
        <f>ROUND(((((ET122*1.25))-((EU122*1.25)))+AE122),6)</f>
        <v>14.5375</v>
      </c>
      <c r="AE122">
        <f>ROUND(((EU122*1.25)),6)</f>
        <v>2.2124999999999999</v>
      </c>
      <c r="AF122">
        <f>ROUND(((EV122*1.15)),6)</f>
        <v>2186.8054999999999</v>
      </c>
      <c r="AG122">
        <f t="shared" si="112"/>
        <v>0</v>
      </c>
      <c r="AH122">
        <f>((EW122*1.15))</f>
        <v>180.54999999999998</v>
      </c>
      <c r="AI122">
        <f>((EX122*1.25))</f>
        <v>0</v>
      </c>
      <c r="AJ122">
        <f t="shared" si="113"/>
        <v>0</v>
      </c>
      <c r="AK122">
        <v>2985.25</v>
      </c>
      <c r="AL122">
        <v>1072.05</v>
      </c>
      <c r="AM122">
        <v>11.63</v>
      </c>
      <c r="AN122">
        <v>1.77</v>
      </c>
      <c r="AO122">
        <v>1901.57</v>
      </c>
      <c r="AP122">
        <v>0</v>
      </c>
      <c r="AQ122">
        <v>157</v>
      </c>
      <c r="AR122">
        <v>0</v>
      </c>
      <c r="AS122">
        <v>0</v>
      </c>
      <c r="AT122">
        <v>83</v>
      </c>
      <c r="AU122">
        <v>41</v>
      </c>
      <c r="AV122">
        <v>1</v>
      </c>
      <c r="AW122">
        <v>1</v>
      </c>
      <c r="AZ122">
        <v>1</v>
      </c>
      <c r="BA122">
        <v>30.1</v>
      </c>
      <c r="BB122">
        <v>12.09</v>
      </c>
      <c r="BC122">
        <v>3.96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1</v>
      </c>
      <c r="BJ122" t="s">
        <v>301</v>
      </c>
      <c r="BM122">
        <v>121</v>
      </c>
      <c r="BN122">
        <v>36862081</v>
      </c>
      <c r="BO122" t="s">
        <v>298</v>
      </c>
      <c r="BP122">
        <v>1</v>
      </c>
      <c r="BQ122">
        <v>30</v>
      </c>
      <c r="BR122">
        <v>0</v>
      </c>
      <c r="BS122">
        <v>30.1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83</v>
      </c>
      <c r="CA122">
        <v>41</v>
      </c>
      <c r="CB122" t="s">
        <v>3</v>
      </c>
      <c r="CE122">
        <v>30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14"/>
        <v>38634.120000000003</v>
      </c>
      <c r="CQ122">
        <f t="shared" si="115"/>
        <v>4245.32</v>
      </c>
      <c r="CR122">
        <f>(ROUND((ROUND((((ET122*1.25))*AV122*1),2)*BB122),2)+ROUND((ROUND(((AE122-((EU122*1.25)))*AV122*1),2)*BS122),2))</f>
        <v>175.79</v>
      </c>
      <c r="CS122">
        <f t="shared" si="116"/>
        <v>66.52</v>
      </c>
      <c r="CT122">
        <f t="shared" si="117"/>
        <v>65822.98</v>
      </c>
      <c r="CU122">
        <f t="shared" si="118"/>
        <v>0</v>
      </c>
      <c r="CV122">
        <f t="shared" si="119"/>
        <v>180.54999999999998</v>
      </c>
      <c r="CW122">
        <f t="shared" si="120"/>
        <v>0</v>
      </c>
      <c r="CX122">
        <f t="shared" si="121"/>
        <v>0</v>
      </c>
      <c r="CY122">
        <f t="shared" si="122"/>
        <v>30048.0501</v>
      </c>
      <c r="CZ122">
        <f t="shared" si="123"/>
        <v>14843.012699999999</v>
      </c>
      <c r="DC122" t="s">
        <v>3</v>
      </c>
      <c r="DD122" t="s">
        <v>3</v>
      </c>
      <c r="DE122" t="s">
        <v>51</v>
      </c>
      <c r="DF122" t="s">
        <v>51</v>
      </c>
      <c r="DG122" t="s">
        <v>52</v>
      </c>
      <c r="DH122" t="s">
        <v>3</v>
      </c>
      <c r="DI122" t="s">
        <v>52</v>
      </c>
      <c r="DJ122" t="s">
        <v>51</v>
      </c>
      <c r="DK122" t="s">
        <v>3</v>
      </c>
      <c r="DL122" t="s">
        <v>3</v>
      </c>
      <c r="DM122" t="s">
        <v>3</v>
      </c>
      <c r="DN122">
        <v>100</v>
      </c>
      <c r="DO122">
        <v>64</v>
      </c>
      <c r="DP122">
        <v>1</v>
      </c>
      <c r="DQ122">
        <v>1</v>
      </c>
      <c r="DU122">
        <v>1013</v>
      </c>
      <c r="DV122" t="s">
        <v>300</v>
      </c>
      <c r="DW122" t="s">
        <v>300</v>
      </c>
      <c r="DX122">
        <v>1</v>
      </c>
      <c r="DZ122" t="s">
        <v>3</v>
      </c>
      <c r="EA122" t="s">
        <v>3</v>
      </c>
      <c r="EB122" t="s">
        <v>3</v>
      </c>
      <c r="EC122" t="s">
        <v>3</v>
      </c>
      <c r="EE122">
        <v>53212870</v>
      </c>
      <c r="EF122">
        <v>30</v>
      </c>
      <c r="EG122" t="s">
        <v>37</v>
      </c>
      <c r="EH122">
        <v>0</v>
      </c>
      <c r="EI122" t="s">
        <v>3</v>
      </c>
      <c r="EJ122">
        <v>1</v>
      </c>
      <c r="EK122">
        <v>121</v>
      </c>
      <c r="EL122" t="s">
        <v>302</v>
      </c>
      <c r="EM122" t="s">
        <v>303</v>
      </c>
      <c r="EO122" t="s">
        <v>3</v>
      </c>
      <c r="EQ122">
        <v>0</v>
      </c>
      <c r="ER122">
        <v>2985.25</v>
      </c>
      <c r="ES122">
        <v>1072.05</v>
      </c>
      <c r="ET122">
        <v>11.63</v>
      </c>
      <c r="EU122">
        <v>1.77</v>
      </c>
      <c r="EV122">
        <v>1901.57</v>
      </c>
      <c r="EW122">
        <v>157</v>
      </c>
      <c r="EX122">
        <v>0</v>
      </c>
      <c r="EY122">
        <v>0</v>
      </c>
      <c r="FQ122">
        <v>0</v>
      </c>
      <c r="FR122">
        <f t="shared" si="124"/>
        <v>0</v>
      </c>
      <c r="FS122">
        <v>0</v>
      </c>
      <c r="FX122">
        <v>100</v>
      </c>
      <c r="FY122">
        <v>64</v>
      </c>
      <c r="GA122" t="s">
        <v>3</v>
      </c>
      <c r="GD122">
        <v>0</v>
      </c>
      <c r="GF122">
        <v>-1950386044</v>
      </c>
      <c r="GG122">
        <v>2</v>
      </c>
      <c r="GH122">
        <v>1</v>
      </c>
      <c r="GI122">
        <v>2</v>
      </c>
      <c r="GJ122">
        <v>0</v>
      </c>
      <c r="GK122">
        <f>ROUND(R122*(R12)/100,2)</f>
        <v>58.75</v>
      </c>
      <c r="GL122">
        <f t="shared" si="125"/>
        <v>0</v>
      </c>
      <c r="GM122">
        <f t="shared" si="126"/>
        <v>83583.929999999993</v>
      </c>
      <c r="GN122">
        <f t="shared" si="127"/>
        <v>83583.929999999993</v>
      </c>
      <c r="GO122">
        <f t="shared" si="128"/>
        <v>0</v>
      </c>
      <c r="GP122">
        <f t="shared" si="129"/>
        <v>0</v>
      </c>
      <c r="GR122">
        <v>0</v>
      </c>
      <c r="GS122">
        <v>3</v>
      </c>
      <c r="GT122">
        <v>0</v>
      </c>
      <c r="GU122" t="s">
        <v>3</v>
      </c>
      <c r="GV122">
        <f t="shared" si="130"/>
        <v>0</v>
      </c>
      <c r="GW122">
        <v>1</v>
      </c>
      <c r="GX122">
        <f t="shared" si="131"/>
        <v>0</v>
      </c>
      <c r="HA122">
        <v>0</v>
      </c>
      <c r="HB122">
        <v>0</v>
      </c>
      <c r="HC122">
        <f t="shared" si="132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IK122">
        <v>0</v>
      </c>
    </row>
    <row r="123" spans="1:245" x14ac:dyDescent="0.2">
      <c r="A123">
        <v>18</v>
      </c>
      <c r="B123">
        <v>1</v>
      </c>
      <c r="C123">
        <v>124</v>
      </c>
      <c r="E123" t="s">
        <v>304</v>
      </c>
      <c r="F123" t="s">
        <v>305</v>
      </c>
      <c r="G123" t="s">
        <v>978</v>
      </c>
      <c r="H123" t="s">
        <v>75</v>
      </c>
      <c r="I123">
        <f>I122*J123</f>
        <v>8.8000000000000005E-3</v>
      </c>
      <c r="J123">
        <v>1.6E-2</v>
      </c>
      <c r="K123">
        <v>1.6E-2</v>
      </c>
      <c r="O123">
        <f t="shared" si="100"/>
        <v>1107.45</v>
      </c>
      <c r="P123">
        <f t="shared" si="101"/>
        <v>1107.45</v>
      </c>
      <c r="Q123">
        <f>(ROUND((ROUND(((ET123)*AV123*I123),2)*BB123),2)+ROUND((ROUND(((AE123-(EU123))*AV123*I123),2)*BS123),2))</f>
        <v>0</v>
      </c>
      <c r="R123">
        <f t="shared" si="102"/>
        <v>0</v>
      </c>
      <c r="S123">
        <f t="shared" si="103"/>
        <v>0</v>
      </c>
      <c r="T123">
        <f t="shared" si="104"/>
        <v>0</v>
      </c>
      <c r="U123">
        <f t="shared" si="105"/>
        <v>0</v>
      </c>
      <c r="V123">
        <f t="shared" si="106"/>
        <v>0</v>
      </c>
      <c r="W123">
        <f t="shared" si="107"/>
        <v>0</v>
      </c>
      <c r="X123">
        <f t="shared" si="108"/>
        <v>0</v>
      </c>
      <c r="Y123">
        <f t="shared" si="109"/>
        <v>0</v>
      </c>
      <c r="AA123">
        <v>53860087</v>
      </c>
      <c r="AB123">
        <f t="shared" si="110"/>
        <v>33030.400000000001</v>
      </c>
      <c r="AC123">
        <f t="shared" si="111"/>
        <v>33030.400000000001</v>
      </c>
      <c r="AD123">
        <f>ROUND((((ET123)-(EU123))+AE123),6)</f>
        <v>0</v>
      </c>
      <c r="AE123">
        <f t="shared" ref="AE123:AF125" si="139">ROUND((EU123),6)</f>
        <v>0</v>
      </c>
      <c r="AF123">
        <f t="shared" si="139"/>
        <v>0</v>
      </c>
      <c r="AG123">
        <f t="shared" si="112"/>
        <v>0</v>
      </c>
      <c r="AH123">
        <f t="shared" ref="AH123:AI125" si="140">(EW123)</f>
        <v>0</v>
      </c>
      <c r="AI123">
        <f t="shared" si="140"/>
        <v>0</v>
      </c>
      <c r="AJ123">
        <f t="shared" si="113"/>
        <v>0</v>
      </c>
      <c r="AK123">
        <v>33030.400000000001</v>
      </c>
      <c r="AL123">
        <v>33030.400000000001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3.81</v>
      </c>
      <c r="BD123" t="s">
        <v>3</v>
      </c>
      <c r="BE123" t="s">
        <v>3</v>
      </c>
      <c r="BF123" t="s">
        <v>3</v>
      </c>
      <c r="BG123" t="s">
        <v>3</v>
      </c>
      <c r="BH123">
        <v>3</v>
      </c>
      <c r="BI123">
        <v>1</v>
      </c>
      <c r="BJ123" t="s">
        <v>306</v>
      </c>
      <c r="BM123">
        <v>121</v>
      </c>
      <c r="BN123">
        <v>36862081</v>
      </c>
      <c r="BO123" t="s">
        <v>305</v>
      </c>
      <c r="BP123">
        <v>1</v>
      </c>
      <c r="BQ123">
        <v>30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0</v>
      </c>
      <c r="CA123">
        <v>0</v>
      </c>
      <c r="CB123" t="s">
        <v>3</v>
      </c>
      <c r="CE123">
        <v>30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14"/>
        <v>1107.45</v>
      </c>
      <c r="CQ123">
        <f t="shared" si="115"/>
        <v>125845.82</v>
      </c>
      <c r="CR123">
        <f>(ROUND((ROUND(((ET123)*AV123*1),2)*BB123),2)+ROUND((ROUND(((AE123-(EU123))*AV123*1),2)*BS123),2))</f>
        <v>0</v>
      </c>
      <c r="CS123">
        <f t="shared" si="116"/>
        <v>0</v>
      </c>
      <c r="CT123">
        <f t="shared" si="117"/>
        <v>0</v>
      </c>
      <c r="CU123">
        <f t="shared" si="118"/>
        <v>0</v>
      </c>
      <c r="CV123">
        <f t="shared" si="119"/>
        <v>0</v>
      </c>
      <c r="CW123">
        <f t="shared" si="120"/>
        <v>0</v>
      </c>
      <c r="CX123">
        <f t="shared" si="121"/>
        <v>0</v>
      </c>
      <c r="CY123">
        <f t="shared" si="122"/>
        <v>0</v>
      </c>
      <c r="CZ123">
        <f t="shared" si="123"/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100</v>
      </c>
      <c r="DO123">
        <v>64</v>
      </c>
      <c r="DP123">
        <v>1</v>
      </c>
      <c r="DQ123">
        <v>1</v>
      </c>
      <c r="DU123">
        <v>1009</v>
      </c>
      <c r="DV123" t="s">
        <v>75</v>
      </c>
      <c r="DW123" t="s">
        <v>75</v>
      </c>
      <c r="DX123">
        <v>1000</v>
      </c>
      <c r="DZ123" t="s">
        <v>3</v>
      </c>
      <c r="EA123" t="s">
        <v>3</v>
      </c>
      <c r="EB123" t="s">
        <v>3</v>
      </c>
      <c r="EC123" t="s">
        <v>3</v>
      </c>
      <c r="EE123">
        <v>53212870</v>
      </c>
      <c r="EF123">
        <v>30</v>
      </c>
      <c r="EG123" t="s">
        <v>37</v>
      </c>
      <c r="EH123">
        <v>0</v>
      </c>
      <c r="EI123" t="s">
        <v>3</v>
      </c>
      <c r="EJ123">
        <v>1</v>
      </c>
      <c r="EK123">
        <v>121</v>
      </c>
      <c r="EL123" t="s">
        <v>302</v>
      </c>
      <c r="EM123" t="s">
        <v>303</v>
      </c>
      <c r="EO123" t="s">
        <v>3</v>
      </c>
      <c r="EQ123">
        <v>0</v>
      </c>
      <c r="ER123">
        <v>33030.400000000001</v>
      </c>
      <c r="ES123">
        <v>33030.400000000001</v>
      </c>
      <c r="ET123">
        <v>0</v>
      </c>
      <c r="EU123">
        <v>0</v>
      </c>
      <c r="EV123">
        <v>0</v>
      </c>
      <c r="EW123">
        <v>0</v>
      </c>
      <c r="EX123">
        <v>0</v>
      </c>
      <c r="FQ123">
        <v>0</v>
      </c>
      <c r="FR123">
        <f t="shared" si="124"/>
        <v>0</v>
      </c>
      <c r="FS123">
        <v>0</v>
      </c>
      <c r="FX123">
        <v>100</v>
      </c>
      <c r="FY123">
        <v>64</v>
      </c>
      <c r="GA123" t="s">
        <v>3</v>
      </c>
      <c r="GD123">
        <v>0</v>
      </c>
      <c r="GF123">
        <v>-781431118</v>
      </c>
      <c r="GG123">
        <v>2</v>
      </c>
      <c r="GH123">
        <v>1</v>
      </c>
      <c r="GI123">
        <v>2</v>
      </c>
      <c r="GJ123">
        <v>0</v>
      </c>
      <c r="GK123">
        <f>ROUND(R123*(R12)/100,2)</f>
        <v>0</v>
      </c>
      <c r="GL123">
        <f t="shared" si="125"/>
        <v>0</v>
      </c>
      <c r="GM123">
        <f t="shared" si="126"/>
        <v>1107.45</v>
      </c>
      <c r="GN123">
        <f t="shared" si="127"/>
        <v>1107.45</v>
      </c>
      <c r="GO123">
        <f t="shared" si="128"/>
        <v>0</v>
      </c>
      <c r="GP123">
        <f t="shared" si="129"/>
        <v>0</v>
      </c>
      <c r="GR123">
        <v>0</v>
      </c>
      <c r="GS123">
        <v>3</v>
      </c>
      <c r="GT123">
        <v>0</v>
      </c>
      <c r="GU123" t="s">
        <v>3</v>
      </c>
      <c r="GV123">
        <f t="shared" si="130"/>
        <v>0</v>
      </c>
      <c r="GW123">
        <v>1</v>
      </c>
      <c r="GX123">
        <f t="shared" si="131"/>
        <v>0</v>
      </c>
      <c r="HA123">
        <v>0</v>
      </c>
      <c r="HB123">
        <v>0</v>
      </c>
      <c r="HC123">
        <f t="shared" si="132"/>
        <v>0</v>
      </c>
      <c r="HE123" t="s">
        <v>3</v>
      </c>
      <c r="HF123" t="s">
        <v>3</v>
      </c>
      <c r="HM123" t="s">
        <v>3</v>
      </c>
      <c r="HN123" t="s">
        <v>3</v>
      </c>
      <c r="HO123" t="s">
        <v>3</v>
      </c>
      <c r="HP123" t="s">
        <v>3</v>
      </c>
      <c r="HQ123" t="s">
        <v>3</v>
      </c>
      <c r="IK123">
        <v>0</v>
      </c>
    </row>
    <row r="124" spans="1:245" x14ac:dyDescent="0.2">
      <c r="A124">
        <v>18</v>
      </c>
      <c r="B124">
        <v>1</v>
      </c>
      <c r="C124">
        <v>127</v>
      </c>
      <c r="E124" t="s">
        <v>307</v>
      </c>
      <c r="F124" t="s">
        <v>308</v>
      </c>
      <c r="G124" t="s">
        <v>979</v>
      </c>
      <c r="H124" t="s">
        <v>58</v>
      </c>
      <c r="I124">
        <f>I122*J124</f>
        <v>66</v>
      </c>
      <c r="J124">
        <v>119.99999999999999</v>
      </c>
      <c r="K124">
        <v>120</v>
      </c>
      <c r="O124">
        <f t="shared" si="100"/>
        <v>1867.87</v>
      </c>
      <c r="P124">
        <f t="shared" si="101"/>
        <v>1867.87</v>
      </c>
      <c r="Q124">
        <f>(ROUND((ROUND(((ET124)*AV124*I124),2)*BB124),2)+ROUND((ROUND(((AE124-(EU124))*AV124*I124),2)*BS124),2))</f>
        <v>0</v>
      </c>
      <c r="R124">
        <f t="shared" si="102"/>
        <v>0</v>
      </c>
      <c r="S124">
        <f t="shared" si="103"/>
        <v>0</v>
      </c>
      <c r="T124">
        <f t="shared" si="104"/>
        <v>0</v>
      </c>
      <c r="U124">
        <f t="shared" si="105"/>
        <v>0</v>
      </c>
      <c r="V124">
        <f t="shared" si="106"/>
        <v>0</v>
      </c>
      <c r="W124">
        <f t="shared" si="107"/>
        <v>0</v>
      </c>
      <c r="X124">
        <f t="shared" si="108"/>
        <v>0</v>
      </c>
      <c r="Y124">
        <f t="shared" si="109"/>
        <v>0</v>
      </c>
      <c r="AA124">
        <v>53860087</v>
      </c>
      <c r="AB124">
        <f t="shared" si="110"/>
        <v>9.1</v>
      </c>
      <c r="AC124">
        <f t="shared" si="111"/>
        <v>9.1</v>
      </c>
      <c r="AD124">
        <f>ROUND((((ET124)-(EU124))+AE124),6)</f>
        <v>0</v>
      </c>
      <c r="AE124">
        <f t="shared" si="139"/>
        <v>0</v>
      </c>
      <c r="AF124">
        <f t="shared" si="139"/>
        <v>0</v>
      </c>
      <c r="AG124">
        <f t="shared" si="112"/>
        <v>0</v>
      </c>
      <c r="AH124">
        <f t="shared" si="140"/>
        <v>0</v>
      </c>
      <c r="AI124">
        <f t="shared" si="140"/>
        <v>0</v>
      </c>
      <c r="AJ124">
        <f t="shared" si="113"/>
        <v>0</v>
      </c>
      <c r="AK124">
        <v>9.1</v>
      </c>
      <c r="AL124">
        <v>9.1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3.11</v>
      </c>
      <c r="BD124" t="s">
        <v>3</v>
      </c>
      <c r="BE124" t="s">
        <v>3</v>
      </c>
      <c r="BF124" t="s">
        <v>3</v>
      </c>
      <c r="BG124" t="s">
        <v>3</v>
      </c>
      <c r="BH124">
        <v>3</v>
      </c>
      <c r="BI124">
        <v>1</v>
      </c>
      <c r="BJ124" t="s">
        <v>309</v>
      </c>
      <c r="BM124">
        <v>121</v>
      </c>
      <c r="BN124">
        <v>36862081</v>
      </c>
      <c r="BO124" t="s">
        <v>308</v>
      </c>
      <c r="BP124">
        <v>1</v>
      </c>
      <c r="BQ124">
        <v>30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0</v>
      </c>
      <c r="CA124">
        <v>0</v>
      </c>
      <c r="CB124" t="s">
        <v>3</v>
      </c>
      <c r="CE124">
        <v>30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14"/>
        <v>1867.87</v>
      </c>
      <c r="CQ124">
        <f t="shared" si="115"/>
        <v>28.3</v>
      </c>
      <c r="CR124">
        <f>(ROUND((ROUND(((ET124)*AV124*1),2)*BB124),2)+ROUND((ROUND(((AE124-(EU124))*AV124*1),2)*BS124),2))</f>
        <v>0</v>
      </c>
      <c r="CS124">
        <f t="shared" si="116"/>
        <v>0</v>
      </c>
      <c r="CT124">
        <f t="shared" si="117"/>
        <v>0</v>
      </c>
      <c r="CU124">
        <f t="shared" si="118"/>
        <v>0</v>
      </c>
      <c r="CV124">
        <f t="shared" si="119"/>
        <v>0</v>
      </c>
      <c r="CW124">
        <f t="shared" si="120"/>
        <v>0</v>
      </c>
      <c r="CX124">
        <f t="shared" si="121"/>
        <v>0</v>
      </c>
      <c r="CY124">
        <f t="shared" si="122"/>
        <v>0</v>
      </c>
      <c r="CZ124">
        <f t="shared" si="123"/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100</v>
      </c>
      <c r="DO124">
        <v>64</v>
      </c>
      <c r="DP124">
        <v>1</v>
      </c>
      <c r="DQ124">
        <v>1</v>
      </c>
      <c r="DU124">
        <v>1009</v>
      </c>
      <c r="DV124" t="s">
        <v>58</v>
      </c>
      <c r="DW124" t="s">
        <v>58</v>
      </c>
      <c r="DX124">
        <v>1</v>
      </c>
      <c r="DZ124" t="s">
        <v>3</v>
      </c>
      <c r="EA124" t="s">
        <v>3</v>
      </c>
      <c r="EB124" t="s">
        <v>3</v>
      </c>
      <c r="EC124" t="s">
        <v>3</v>
      </c>
      <c r="EE124">
        <v>53212870</v>
      </c>
      <c r="EF124">
        <v>30</v>
      </c>
      <c r="EG124" t="s">
        <v>37</v>
      </c>
      <c r="EH124">
        <v>0</v>
      </c>
      <c r="EI124" t="s">
        <v>3</v>
      </c>
      <c r="EJ124">
        <v>1</v>
      </c>
      <c r="EK124">
        <v>121</v>
      </c>
      <c r="EL124" t="s">
        <v>302</v>
      </c>
      <c r="EM124" t="s">
        <v>303</v>
      </c>
      <c r="EO124" t="s">
        <v>3</v>
      </c>
      <c r="EQ124">
        <v>0</v>
      </c>
      <c r="ER124">
        <v>9.1</v>
      </c>
      <c r="ES124">
        <v>9.1</v>
      </c>
      <c r="ET124">
        <v>0</v>
      </c>
      <c r="EU124">
        <v>0</v>
      </c>
      <c r="EV124">
        <v>0</v>
      </c>
      <c r="EW124">
        <v>0</v>
      </c>
      <c r="EX124">
        <v>0</v>
      </c>
      <c r="FQ124">
        <v>0</v>
      </c>
      <c r="FR124">
        <f t="shared" si="124"/>
        <v>0</v>
      </c>
      <c r="FS124">
        <v>0</v>
      </c>
      <c r="FX124">
        <v>100</v>
      </c>
      <c r="FY124">
        <v>64</v>
      </c>
      <c r="GA124" t="s">
        <v>3</v>
      </c>
      <c r="GD124">
        <v>0</v>
      </c>
      <c r="GF124">
        <v>1774856576</v>
      </c>
      <c r="GG124">
        <v>2</v>
      </c>
      <c r="GH124">
        <v>1</v>
      </c>
      <c r="GI124">
        <v>2</v>
      </c>
      <c r="GJ124">
        <v>0</v>
      </c>
      <c r="GK124">
        <f>ROUND(R124*(R12)/100,2)</f>
        <v>0</v>
      </c>
      <c r="GL124">
        <f t="shared" si="125"/>
        <v>0</v>
      </c>
      <c r="GM124">
        <f t="shared" si="126"/>
        <v>1867.87</v>
      </c>
      <c r="GN124">
        <f t="shared" si="127"/>
        <v>1867.87</v>
      </c>
      <c r="GO124">
        <f t="shared" si="128"/>
        <v>0</v>
      </c>
      <c r="GP124">
        <f t="shared" si="129"/>
        <v>0</v>
      </c>
      <c r="GR124">
        <v>0</v>
      </c>
      <c r="GS124">
        <v>3</v>
      </c>
      <c r="GT124">
        <v>0</v>
      </c>
      <c r="GU124" t="s">
        <v>3</v>
      </c>
      <c r="GV124">
        <f t="shared" si="130"/>
        <v>0</v>
      </c>
      <c r="GW124">
        <v>1</v>
      </c>
      <c r="GX124">
        <f t="shared" si="131"/>
        <v>0</v>
      </c>
      <c r="HA124">
        <v>0</v>
      </c>
      <c r="HB124">
        <v>0</v>
      </c>
      <c r="HC124">
        <f t="shared" si="132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18</v>
      </c>
      <c r="B125">
        <v>1</v>
      </c>
      <c r="C125">
        <v>126</v>
      </c>
      <c r="E125" t="s">
        <v>310</v>
      </c>
      <c r="F125" t="s">
        <v>311</v>
      </c>
      <c r="G125" t="s">
        <v>312</v>
      </c>
      <c r="H125" t="s">
        <v>28</v>
      </c>
      <c r="I125">
        <f>I122*J125</f>
        <v>0.61599999999999999</v>
      </c>
      <c r="J125">
        <v>1.1199999999999999</v>
      </c>
      <c r="K125">
        <v>1.1200000000000001</v>
      </c>
      <c r="O125">
        <f t="shared" si="100"/>
        <v>3581.94</v>
      </c>
      <c r="P125">
        <f t="shared" si="101"/>
        <v>3581.94</v>
      </c>
      <c r="Q125">
        <f>(ROUND((ROUND(((ET125)*AV125*I125),2)*BB125),2)+ROUND((ROUND(((AE125-(EU125))*AV125*I125),2)*BS125),2))</f>
        <v>0</v>
      </c>
      <c r="R125">
        <f t="shared" si="102"/>
        <v>0</v>
      </c>
      <c r="S125">
        <f t="shared" si="103"/>
        <v>0</v>
      </c>
      <c r="T125">
        <f t="shared" si="104"/>
        <v>0</v>
      </c>
      <c r="U125">
        <f t="shared" si="105"/>
        <v>0</v>
      </c>
      <c r="V125">
        <f t="shared" si="106"/>
        <v>0</v>
      </c>
      <c r="W125">
        <f t="shared" si="107"/>
        <v>0</v>
      </c>
      <c r="X125">
        <f t="shared" si="108"/>
        <v>0</v>
      </c>
      <c r="Y125">
        <f t="shared" si="109"/>
        <v>0</v>
      </c>
      <c r="AA125">
        <v>53860087</v>
      </c>
      <c r="AB125">
        <f t="shared" si="110"/>
        <v>945.51</v>
      </c>
      <c r="AC125">
        <f t="shared" si="111"/>
        <v>945.51</v>
      </c>
      <c r="AD125">
        <f>ROUND((((ET125)-(EU125))+AE125),6)</f>
        <v>0</v>
      </c>
      <c r="AE125">
        <f t="shared" si="139"/>
        <v>0</v>
      </c>
      <c r="AF125">
        <f t="shared" si="139"/>
        <v>0</v>
      </c>
      <c r="AG125">
        <f t="shared" si="112"/>
        <v>0</v>
      </c>
      <c r="AH125">
        <f t="shared" si="140"/>
        <v>0</v>
      </c>
      <c r="AI125">
        <f t="shared" si="140"/>
        <v>0</v>
      </c>
      <c r="AJ125">
        <f t="shared" si="113"/>
        <v>0</v>
      </c>
      <c r="AK125">
        <v>945.51</v>
      </c>
      <c r="AL125">
        <v>945.51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6.15</v>
      </c>
      <c r="BD125" t="s">
        <v>3</v>
      </c>
      <c r="BE125" t="s">
        <v>3</v>
      </c>
      <c r="BF125" t="s">
        <v>3</v>
      </c>
      <c r="BG125" t="s">
        <v>3</v>
      </c>
      <c r="BH125">
        <v>3</v>
      </c>
      <c r="BI125">
        <v>1</v>
      </c>
      <c r="BJ125" t="s">
        <v>313</v>
      </c>
      <c r="BM125">
        <v>121</v>
      </c>
      <c r="BN125">
        <v>36862081</v>
      </c>
      <c r="BO125" t="s">
        <v>311</v>
      </c>
      <c r="BP125">
        <v>1</v>
      </c>
      <c r="BQ125">
        <v>30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0</v>
      </c>
      <c r="CA125">
        <v>0</v>
      </c>
      <c r="CB125" t="s">
        <v>3</v>
      </c>
      <c r="CE125">
        <v>30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14"/>
        <v>3581.94</v>
      </c>
      <c r="CQ125">
        <f t="shared" si="115"/>
        <v>5814.89</v>
      </c>
      <c r="CR125">
        <f>(ROUND((ROUND(((ET125)*AV125*1),2)*BB125),2)+ROUND((ROUND(((AE125-(EU125))*AV125*1),2)*BS125),2))</f>
        <v>0</v>
      </c>
      <c r="CS125">
        <f t="shared" si="116"/>
        <v>0</v>
      </c>
      <c r="CT125">
        <f t="shared" si="117"/>
        <v>0</v>
      </c>
      <c r="CU125">
        <f t="shared" si="118"/>
        <v>0</v>
      </c>
      <c r="CV125">
        <f t="shared" si="119"/>
        <v>0</v>
      </c>
      <c r="CW125">
        <f t="shared" si="120"/>
        <v>0</v>
      </c>
      <c r="CX125">
        <f t="shared" si="121"/>
        <v>0</v>
      </c>
      <c r="CY125">
        <f t="shared" si="122"/>
        <v>0</v>
      </c>
      <c r="CZ125">
        <f t="shared" si="123"/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100</v>
      </c>
      <c r="DO125">
        <v>64</v>
      </c>
      <c r="DP125">
        <v>1</v>
      </c>
      <c r="DQ125">
        <v>1</v>
      </c>
      <c r="DU125">
        <v>1005</v>
      </c>
      <c r="DV125" t="s">
        <v>28</v>
      </c>
      <c r="DW125" t="s">
        <v>28</v>
      </c>
      <c r="DX125">
        <v>100</v>
      </c>
      <c r="DZ125" t="s">
        <v>3</v>
      </c>
      <c r="EA125" t="s">
        <v>3</v>
      </c>
      <c r="EB125" t="s">
        <v>3</v>
      </c>
      <c r="EC125" t="s">
        <v>3</v>
      </c>
      <c r="EE125">
        <v>53212870</v>
      </c>
      <c r="EF125">
        <v>30</v>
      </c>
      <c r="EG125" t="s">
        <v>37</v>
      </c>
      <c r="EH125">
        <v>0</v>
      </c>
      <c r="EI125" t="s">
        <v>3</v>
      </c>
      <c r="EJ125">
        <v>1</v>
      </c>
      <c r="EK125">
        <v>121</v>
      </c>
      <c r="EL125" t="s">
        <v>302</v>
      </c>
      <c r="EM125" t="s">
        <v>303</v>
      </c>
      <c r="EO125" t="s">
        <v>3</v>
      </c>
      <c r="EQ125">
        <v>0</v>
      </c>
      <c r="ER125">
        <v>945.51</v>
      </c>
      <c r="ES125">
        <v>945.51</v>
      </c>
      <c r="ET125">
        <v>0</v>
      </c>
      <c r="EU125">
        <v>0</v>
      </c>
      <c r="EV125">
        <v>0</v>
      </c>
      <c r="EW125">
        <v>0</v>
      </c>
      <c r="EX125">
        <v>0</v>
      </c>
      <c r="FQ125">
        <v>0</v>
      </c>
      <c r="FR125">
        <f t="shared" si="124"/>
        <v>0</v>
      </c>
      <c r="FS125">
        <v>0</v>
      </c>
      <c r="FX125">
        <v>100</v>
      </c>
      <c r="FY125">
        <v>64</v>
      </c>
      <c r="GA125" t="s">
        <v>3</v>
      </c>
      <c r="GD125">
        <v>0</v>
      </c>
      <c r="GF125">
        <v>-1300525607</v>
      </c>
      <c r="GG125">
        <v>2</v>
      </c>
      <c r="GH125">
        <v>1</v>
      </c>
      <c r="GI125">
        <v>2</v>
      </c>
      <c r="GJ125">
        <v>0</v>
      </c>
      <c r="GK125">
        <f>ROUND(R125*(R12)/100,2)</f>
        <v>0</v>
      </c>
      <c r="GL125">
        <f t="shared" si="125"/>
        <v>0</v>
      </c>
      <c r="GM125">
        <f t="shared" si="126"/>
        <v>3581.94</v>
      </c>
      <c r="GN125">
        <f t="shared" si="127"/>
        <v>3581.94</v>
      </c>
      <c r="GO125">
        <f t="shared" si="128"/>
        <v>0</v>
      </c>
      <c r="GP125">
        <f t="shared" si="129"/>
        <v>0</v>
      </c>
      <c r="GR125">
        <v>0</v>
      </c>
      <c r="GS125">
        <v>3</v>
      </c>
      <c r="GT125">
        <v>0</v>
      </c>
      <c r="GU125" t="s">
        <v>3</v>
      </c>
      <c r="GV125">
        <f t="shared" si="130"/>
        <v>0</v>
      </c>
      <c r="GW125">
        <v>1</v>
      </c>
      <c r="GX125">
        <f t="shared" si="131"/>
        <v>0</v>
      </c>
      <c r="HA125">
        <v>0</v>
      </c>
      <c r="HB125">
        <v>0</v>
      </c>
      <c r="HC125">
        <f t="shared" si="132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C126">
        <f>ROW(SmtRes!A130)</f>
        <v>130</v>
      </c>
      <c r="D126">
        <f>ROW(EtalonRes!A207)</f>
        <v>207</v>
      </c>
      <c r="E126" t="s">
        <v>314</v>
      </c>
      <c r="F126" t="s">
        <v>315</v>
      </c>
      <c r="G126" t="s">
        <v>316</v>
      </c>
      <c r="H126" t="s">
        <v>136</v>
      </c>
      <c r="I126">
        <f>ROUND(55/100,9)</f>
        <v>0.55000000000000004</v>
      </c>
      <c r="J126">
        <v>0</v>
      </c>
      <c r="K126">
        <f>ROUND(55/100,9)</f>
        <v>0.55000000000000004</v>
      </c>
      <c r="O126">
        <f t="shared" si="100"/>
        <v>1257.28</v>
      </c>
      <c r="P126">
        <f t="shared" si="101"/>
        <v>0</v>
      </c>
      <c r="Q126">
        <f>(ROUND((ROUND((((ET126*1.25))*AV126*I126),2)*BB126),2)+ROUND((ROUND(((AE126-((EU126*1.25)))*AV126*I126),2)*BS126),2))</f>
        <v>0</v>
      </c>
      <c r="R126">
        <f t="shared" si="102"/>
        <v>0</v>
      </c>
      <c r="S126">
        <f t="shared" si="103"/>
        <v>1257.28</v>
      </c>
      <c r="T126">
        <f t="shared" si="104"/>
        <v>0</v>
      </c>
      <c r="U126">
        <f t="shared" si="105"/>
        <v>3.4724249999999999</v>
      </c>
      <c r="V126">
        <f t="shared" si="106"/>
        <v>0</v>
      </c>
      <c r="W126">
        <f t="shared" si="107"/>
        <v>0</v>
      </c>
      <c r="X126">
        <f t="shared" si="108"/>
        <v>1043.54</v>
      </c>
      <c r="Y126">
        <f t="shared" si="109"/>
        <v>515.48</v>
      </c>
      <c r="AA126">
        <v>53860087</v>
      </c>
      <c r="AB126">
        <f t="shared" si="110"/>
        <v>75.945999999999998</v>
      </c>
      <c r="AC126">
        <f t="shared" si="111"/>
        <v>0</v>
      </c>
      <c r="AD126">
        <f>ROUND(((((ET126*1.25))-((EU126*1.25)))+AE126),6)</f>
        <v>0</v>
      </c>
      <c r="AE126">
        <f>ROUND(((EU126*1.25)),6)</f>
        <v>0</v>
      </c>
      <c r="AF126">
        <f>ROUND(((EV126*1.15)),6)</f>
        <v>75.945999999999998</v>
      </c>
      <c r="AG126">
        <f t="shared" si="112"/>
        <v>0</v>
      </c>
      <c r="AH126">
        <f>((EW126*1.15))</f>
        <v>6.3134999999999994</v>
      </c>
      <c r="AI126">
        <f>((EX126*1.25))</f>
        <v>0</v>
      </c>
      <c r="AJ126">
        <f t="shared" si="113"/>
        <v>0</v>
      </c>
      <c r="AK126">
        <v>66.040000000000006</v>
      </c>
      <c r="AL126">
        <v>0</v>
      </c>
      <c r="AM126">
        <v>0</v>
      </c>
      <c r="AN126">
        <v>0</v>
      </c>
      <c r="AO126">
        <v>66.040000000000006</v>
      </c>
      <c r="AP126">
        <v>0</v>
      </c>
      <c r="AQ126">
        <v>5.49</v>
      </c>
      <c r="AR126">
        <v>0</v>
      </c>
      <c r="AS126">
        <v>0</v>
      </c>
      <c r="AT126">
        <v>83</v>
      </c>
      <c r="AU126">
        <v>41</v>
      </c>
      <c r="AV126">
        <v>1</v>
      </c>
      <c r="AW126">
        <v>1</v>
      </c>
      <c r="AZ126">
        <v>1</v>
      </c>
      <c r="BA126">
        <v>30.1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1</v>
      </c>
      <c r="BJ126" t="s">
        <v>317</v>
      </c>
      <c r="BM126">
        <v>121</v>
      </c>
      <c r="BN126">
        <v>36862081</v>
      </c>
      <c r="BO126" t="s">
        <v>315</v>
      </c>
      <c r="BP126">
        <v>1</v>
      </c>
      <c r="BQ126">
        <v>30</v>
      </c>
      <c r="BR126">
        <v>0</v>
      </c>
      <c r="BS126">
        <v>30.1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83</v>
      </c>
      <c r="CA126">
        <v>41</v>
      </c>
      <c r="CB126" t="s">
        <v>3</v>
      </c>
      <c r="CE126">
        <v>30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14"/>
        <v>1257.28</v>
      </c>
      <c r="CQ126">
        <f t="shared" si="115"/>
        <v>0</v>
      </c>
      <c r="CR126">
        <f>(ROUND((ROUND((((ET126*1.25))*AV126*1),2)*BB126),2)+ROUND((ROUND(((AE126-((EU126*1.25)))*AV126*1),2)*BS126),2))</f>
        <v>0</v>
      </c>
      <c r="CS126">
        <f t="shared" si="116"/>
        <v>0</v>
      </c>
      <c r="CT126">
        <f t="shared" si="117"/>
        <v>2286.1</v>
      </c>
      <c r="CU126">
        <f t="shared" si="118"/>
        <v>0</v>
      </c>
      <c r="CV126">
        <f t="shared" si="119"/>
        <v>6.3134999999999994</v>
      </c>
      <c r="CW126">
        <f t="shared" si="120"/>
        <v>0</v>
      </c>
      <c r="CX126">
        <f t="shared" si="121"/>
        <v>0</v>
      </c>
      <c r="CY126">
        <f t="shared" si="122"/>
        <v>1043.5423999999998</v>
      </c>
      <c r="CZ126">
        <f t="shared" si="123"/>
        <v>515.48479999999995</v>
      </c>
      <c r="DC126" t="s">
        <v>3</v>
      </c>
      <c r="DD126" t="s">
        <v>3</v>
      </c>
      <c r="DE126" t="s">
        <v>51</v>
      </c>
      <c r="DF126" t="s">
        <v>51</v>
      </c>
      <c r="DG126" t="s">
        <v>52</v>
      </c>
      <c r="DH126" t="s">
        <v>3</v>
      </c>
      <c r="DI126" t="s">
        <v>52</v>
      </c>
      <c r="DJ126" t="s">
        <v>51</v>
      </c>
      <c r="DK126" t="s">
        <v>3</v>
      </c>
      <c r="DL126" t="s">
        <v>3</v>
      </c>
      <c r="DM126" t="s">
        <v>3</v>
      </c>
      <c r="DN126">
        <v>100</v>
      </c>
      <c r="DO126">
        <v>64</v>
      </c>
      <c r="DP126">
        <v>1</v>
      </c>
      <c r="DQ126">
        <v>1</v>
      </c>
      <c r="DU126">
        <v>1005</v>
      </c>
      <c r="DV126" t="s">
        <v>136</v>
      </c>
      <c r="DW126" t="s">
        <v>136</v>
      </c>
      <c r="DX126">
        <v>100</v>
      </c>
      <c r="DZ126" t="s">
        <v>3</v>
      </c>
      <c r="EA126" t="s">
        <v>3</v>
      </c>
      <c r="EB126" t="s">
        <v>3</v>
      </c>
      <c r="EC126" t="s">
        <v>3</v>
      </c>
      <c r="EE126">
        <v>53212870</v>
      </c>
      <c r="EF126">
        <v>30</v>
      </c>
      <c r="EG126" t="s">
        <v>37</v>
      </c>
      <c r="EH126">
        <v>0</v>
      </c>
      <c r="EI126" t="s">
        <v>3</v>
      </c>
      <c r="EJ126">
        <v>1</v>
      </c>
      <c r="EK126">
        <v>121</v>
      </c>
      <c r="EL126" t="s">
        <v>302</v>
      </c>
      <c r="EM126" t="s">
        <v>303</v>
      </c>
      <c r="EO126" t="s">
        <v>3</v>
      </c>
      <c r="EQ126">
        <v>0</v>
      </c>
      <c r="ER126">
        <v>66.040000000000006</v>
      </c>
      <c r="ES126">
        <v>0</v>
      </c>
      <c r="ET126">
        <v>0</v>
      </c>
      <c r="EU126">
        <v>0</v>
      </c>
      <c r="EV126">
        <v>66.040000000000006</v>
      </c>
      <c r="EW126">
        <v>5.49</v>
      </c>
      <c r="EX126">
        <v>0</v>
      </c>
      <c r="EY126">
        <v>0</v>
      </c>
      <c r="FQ126">
        <v>0</v>
      </c>
      <c r="FR126">
        <f t="shared" si="124"/>
        <v>0</v>
      </c>
      <c r="FS126">
        <v>0</v>
      </c>
      <c r="FX126">
        <v>100</v>
      </c>
      <c r="FY126">
        <v>64</v>
      </c>
      <c r="GA126" t="s">
        <v>3</v>
      </c>
      <c r="GD126">
        <v>0</v>
      </c>
      <c r="GF126">
        <v>-269783722</v>
      </c>
      <c r="GG126">
        <v>2</v>
      </c>
      <c r="GH126">
        <v>1</v>
      </c>
      <c r="GI126">
        <v>2</v>
      </c>
      <c r="GJ126">
        <v>0</v>
      </c>
      <c r="GK126">
        <f>ROUND(R126*(R12)/100,2)</f>
        <v>0</v>
      </c>
      <c r="GL126">
        <f t="shared" si="125"/>
        <v>0</v>
      </c>
      <c r="GM126">
        <f t="shared" si="126"/>
        <v>2816.3</v>
      </c>
      <c r="GN126">
        <f t="shared" si="127"/>
        <v>2816.3</v>
      </c>
      <c r="GO126">
        <f t="shared" si="128"/>
        <v>0</v>
      </c>
      <c r="GP126">
        <f t="shared" si="129"/>
        <v>0</v>
      </c>
      <c r="GR126">
        <v>0</v>
      </c>
      <c r="GS126">
        <v>3</v>
      </c>
      <c r="GT126">
        <v>0</v>
      </c>
      <c r="GU126" t="s">
        <v>3</v>
      </c>
      <c r="GV126">
        <f t="shared" si="130"/>
        <v>0</v>
      </c>
      <c r="GW126">
        <v>1</v>
      </c>
      <c r="GX126">
        <f t="shared" si="131"/>
        <v>0</v>
      </c>
      <c r="HA126">
        <v>0</v>
      </c>
      <c r="HB126">
        <v>0</v>
      </c>
      <c r="HC126">
        <f t="shared" si="132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18</v>
      </c>
      <c r="B127">
        <v>1</v>
      </c>
      <c r="C127">
        <v>130</v>
      </c>
      <c r="E127" t="s">
        <v>318</v>
      </c>
      <c r="F127" t="s">
        <v>305</v>
      </c>
      <c r="G127" t="s">
        <v>978</v>
      </c>
      <c r="H127" t="s">
        <v>75</v>
      </c>
      <c r="I127">
        <f>I126*J127</f>
        <v>8.2500000000000004E-3</v>
      </c>
      <c r="J127">
        <v>1.4999999999999999E-2</v>
      </c>
      <c r="K127">
        <v>1.4999999999999999E-2</v>
      </c>
      <c r="O127">
        <f t="shared" si="100"/>
        <v>1038.23</v>
      </c>
      <c r="P127">
        <f t="shared" si="101"/>
        <v>1038.23</v>
      </c>
      <c r="Q127">
        <f>(ROUND((ROUND(((ET127)*AV127*I127),2)*BB127),2)+ROUND((ROUND(((AE127-(EU127))*AV127*I127),2)*BS127),2))</f>
        <v>0</v>
      </c>
      <c r="R127">
        <f t="shared" si="102"/>
        <v>0</v>
      </c>
      <c r="S127">
        <f t="shared" si="103"/>
        <v>0</v>
      </c>
      <c r="T127">
        <f t="shared" si="104"/>
        <v>0</v>
      </c>
      <c r="U127">
        <f t="shared" si="105"/>
        <v>0</v>
      </c>
      <c r="V127">
        <f t="shared" si="106"/>
        <v>0</v>
      </c>
      <c r="W127">
        <f t="shared" si="107"/>
        <v>0</v>
      </c>
      <c r="X127">
        <f t="shared" si="108"/>
        <v>0</v>
      </c>
      <c r="Y127">
        <f t="shared" si="109"/>
        <v>0</v>
      </c>
      <c r="AA127">
        <v>53860087</v>
      </c>
      <c r="AB127">
        <f t="shared" si="110"/>
        <v>33030.400000000001</v>
      </c>
      <c r="AC127">
        <f t="shared" si="111"/>
        <v>33030.400000000001</v>
      </c>
      <c r="AD127">
        <f>ROUND((((ET127)-(EU127))+AE127),6)</f>
        <v>0</v>
      </c>
      <c r="AE127">
        <f>ROUND((EU127),6)</f>
        <v>0</v>
      </c>
      <c r="AF127">
        <f>ROUND((EV127),6)</f>
        <v>0</v>
      </c>
      <c r="AG127">
        <f t="shared" si="112"/>
        <v>0</v>
      </c>
      <c r="AH127">
        <f>(EW127)</f>
        <v>0</v>
      </c>
      <c r="AI127">
        <f>(EX127)</f>
        <v>0</v>
      </c>
      <c r="AJ127">
        <f t="shared" si="113"/>
        <v>0</v>
      </c>
      <c r="AK127">
        <v>33030.400000000001</v>
      </c>
      <c r="AL127">
        <v>33030.400000000001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3.81</v>
      </c>
      <c r="BD127" t="s">
        <v>3</v>
      </c>
      <c r="BE127" t="s">
        <v>3</v>
      </c>
      <c r="BF127" t="s">
        <v>3</v>
      </c>
      <c r="BG127" t="s">
        <v>3</v>
      </c>
      <c r="BH127">
        <v>3</v>
      </c>
      <c r="BI127">
        <v>1</v>
      </c>
      <c r="BJ127" t="s">
        <v>306</v>
      </c>
      <c r="BM127">
        <v>121</v>
      </c>
      <c r="BN127">
        <v>36862081</v>
      </c>
      <c r="BO127" t="s">
        <v>305</v>
      </c>
      <c r="BP127">
        <v>1</v>
      </c>
      <c r="BQ127">
        <v>30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0</v>
      </c>
      <c r="CA127">
        <v>0</v>
      </c>
      <c r="CB127" t="s">
        <v>3</v>
      </c>
      <c r="CE127">
        <v>30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14"/>
        <v>1038.23</v>
      </c>
      <c r="CQ127">
        <f t="shared" si="115"/>
        <v>125845.82</v>
      </c>
      <c r="CR127">
        <f>(ROUND((ROUND(((ET127)*AV127*1),2)*BB127),2)+ROUND((ROUND(((AE127-(EU127))*AV127*1),2)*BS127),2))</f>
        <v>0</v>
      </c>
      <c r="CS127">
        <f t="shared" si="116"/>
        <v>0</v>
      </c>
      <c r="CT127">
        <f t="shared" si="117"/>
        <v>0</v>
      </c>
      <c r="CU127">
        <f t="shared" si="118"/>
        <v>0</v>
      </c>
      <c r="CV127">
        <f t="shared" si="119"/>
        <v>0</v>
      </c>
      <c r="CW127">
        <f t="shared" si="120"/>
        <v>0</v>
      </c>
      <c r="CX127">
        <f t="shared" si="121"/>
        <v>0</v>
      </c>
      <c r="CY127">
        <f t="shared" si="122"/>
        <v>0</v>
      </c>
      <c r="CZ127">
        <f t="shared" si="123"/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100</v>
      </c>
      <c r="DO127">
        <v>64</v>
      </c>
      <c r="DP127">
        <v>1</v>
      </c>
      <c r="DQ127">
        <v>1</v>
      </c>
      <c r="DU127">
        <v>1009</v>
      </c>
      <c r="DV127" t="s">
        <v>75</v>
      </c>
      <c r="DW127" t="s">
        <v>75</v>
      </c>
      <c r="DX127">
        <v>1000</v>
      </c>
      <c r="DZ127" t="s">
        <v>3</v>
      </c>
      <c r="EA127" t="s">
        <v>3</v>
      </c>
      <c r="EB127" t="s">
        <v>3</v>
      </c>
      <c r="EC127" t="s">
        <v>3</v>
      </c>
      <c r="EE127">
        <v>53212870</v>
      </c>
      <c r="EF127">
        <v>30</v>
      </c>
      <c r="EG127" t="s">
        <v>37</v>
      </c>
      <c r="EH127">
        <v>0</v>
      </c>
      <c r="EI127" t="s">
        <v>3</v>
      </c>
      <c r="EJ127">
        <v>1</v>
      </c>
      <c r="EK127">
        <v>121</v>
      </c>
      <c r="EL127" t="s">
        <v>302</v>
      </c>
      <c r="EM127" t="s">
        <v>303</v>
      </c>
      <c r="EO127" t="s">
        <v>3</v>
      </c>
      <c r="EQ127">
        <v>0</v>
      </c>
      <c r="ER127">
        <v>33030.400000000001</v>
      </c>
      <c r="ES127">
        <v>33030.400000000001</v>
      </c>
      <c r="ET127">
        <v>0</v>
      </c>
      <c r="EU127">
        <v>0</v>
      </c>
      <c r="EV127">
        <v>0</v>
      </c>
      <c r="EW127">
        <v>0</v>
      </c>
      <c r="EX127">
        <v>0</v>
      </c>
      <c r="FQ127">
        <v>0</v>
      </c>
      <c r="FR127">
        <f t="shared" si="124"/>
        <v>0</v>
      </c>
      <c r="FS127">
        <v>0</v>
      </c>
      <c r="FX127">
        <v>100</v>
      </c>
      <c r="FY127">
        <v>64</v>
      </c>
      <c r="GA127" t="s">
        <v>3</v>
      </c>
      <c r="GD127">
        <v>0</v>
      </c>
      <c r="GF127">
        <v>-781431118</v>
      </c>
      <c r="GG127">
        <v>2</v>
      </c>
      <c r="GH127">
        <v>1</v>
      </c>
      <c r="GI127">
        <v>2</v>
      </c>
      <c r="GJ127">
        <v>0</v>
      </c>
      <c r="GK127">
        <f>ROUND(R127*(R12)/100,2)</f>
        <v>0</v>
      </c>
      <c r="GL127">
        <f t="shared" si="125"/>
        <v>0</v>
      </c>
      <c r="GM127">
        <f t="shared" si="126"/>
        <v>1038.23</v>
      </c>
      <c r="GN127">
        <f t="shared" si="127"/>
        <v>1038.23</v>
      </c>
      <c r="GO127">
        <f t="shared" si="128"/>
        <v>0</v>
      </c>
      <c r="GP127">
        <f t="shared" si="129"/>
        <v>0</v>
      </c>
      <c r="GR127">
        <v>0</v>
      </c>
      <c r="GS127">
        <v>3</v>
      </c>
      <c r="GT127">
        <v>0</v>
      </c>
      <c r="GU127" t="s">
        <v>3</v>
      </c>
      <c r="GV127">
        <f t="shared" si="130"/>
        <v>0</v>
      </c>
      <c r="GW127">
        <v>1</v>
      </c>
      <c r="GX127">
        <f t="shared" si="131"/>
        <v>0</v>
      </c>
      <c r="HA127">
        <v>0</v>
      </c>
      <c r="HB127">
        <v>0</v>
      </c>
      <c r="HC127">
        <f t="shared" si="132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19</v>
      </c>
      <c r="B128">
        <v>1</v>
      </c>
      <c r="F128" t="s">
        <v>3</v>
      </c>
      <c r="G128" t="s">
        <v>319</v>
      </c>
      <c r="H128" t="s">
        <v>3</v>
      </c>
      <c r="AA128">
        <v>1</v>
      </c>
      <c r="IK128">
        <v>0</v>
      </c>
    </row>
    <row r="129" spans="1:245" x14ac:dyDescent="0.2">
      <c r="A129">
        <v>17</v>
      </c>
      <c r="B129">
        <v>1</v>
      </c>
      <c r="C129">
        <f>ROW(SmtRes!A135)</f>
        <v>135</v>
      </c>
      <c r="D129">
        <f>ROW(EtalonRes!A226)</f>
        <v>226</v>
      </c>
      <c r="E129" t="s">
        <v>320</v>
      </c>
      <c r="F129" t="s">
        <v>235</v>
      </c>
      <c r="G129" t="s">
        <v>321</v>
      </c>
      <c r="H129" t="s">
        <v>237</v>
      </c>
      <c r="I129">
        <f>ROUND(17/100,9)</f>
        <v>0.17</v>
      </c>
      <c r="J129">
        <v>0</v>
      </c>
      <c r="K129">
        <f>ROUND(17/100,9)</f>
        <v>0.17</v>
      </c>
      <c r="O129">
        <f t="shared" ref="O129:O156" si="141">ROUND(CP129,2)</f>
        <v>12611.04</v>
      </c>
      <c r="P129">
        <f t="shared" ref="P129:P156" si="142">ROUND((ROUND((AC129*AW129*I129),2)*BC129),2)</f>
        <v>2082.21</v>
      </c>
      <c r="Q129">
        <f>(ROUND((ROUND((((ET129*1.25))*AV129*I129),2)*BB129),2)+ROUND((ROUND(((AE129-((EU129*1.25)))*AV129*I129),2)*BS129),2))</f>
        <v>312.58999999999997</v>
      </c>
      <c r="R129">
        <f t="shared" ref="R129:R156" si="143">ROUND((ROUND((AE129*AV129*I129),2)*BS129),2)</f>
        <v>88.8</v>
      </c>
      <c r="S129">
        <f t="shared" ref="S129:S156" si="144">ROUND((ROUND((AF129*AV129*I129),2)*BA129),2)</f>
        <v>10216.24</v>
      </c>
      <c r="T129">
        <f t="shared" ref="T129:T156" si="145">ROUND(CU129*I129,2)</f>
        <v>0</v>
      </c>
      <c r="U129">
        <f t="shared" ref="U129:U156" si="146">CV129*I129</f>
        <v>28.865575</v>
      </c>
      <c r="V129">
        <f t="shared" ref="V129:V156" si="147">CW129*I129</f>
        <v>0</v>
      </c>
      <c r="W129">
        <f t="shared" ref="W129:W156" si="148">ROUND(CX129*I129,2)</f>
        <v>0</v>
      </c>
      <c r="X129">
        <f t="shared" ref="X129:X156" si="149">ROUND(CY129,2)</f>
        <v>7662.18</v>
      </c>
      <c r="Y129">
        <f t="shared" ref="Y129:Y156" si="150">ROUND(CZ129,2)</f>
        <v>4188.66</v>
      </c>
      <c r="AA129">
        <v>53860087</v>
      </c>
      <c r="AB129">
        <f t="shared" ref="AB129:AB156" si="151">ROUND((AC129+AD129+AF129),6)</f>
        <v>4344.9080000000004</v>
      </c>
      <c r="AC129">
        <f t="shared" ref="AC129:AC156" si="152">ROUND((ES129),6)</f>
        <v>2183.3200000000002</v>
      </c>
      <c r="AD129">
        <f>ROUND(((((ET129*1.25))-((EU129*1.25)))+AE129),6)</f>
        <v>165.05</v>
      </c>
      <c r="AE129">
        <f>ROUND(((EU129*1.25)),6)</f>
        <v>17.375</v>
      </c>
      <c r="AF129">
        <f>ROUND(((EV129*1.15)),6)</f>
        <v>1996.538</v>
      </c>
      <c r="AG129">
        <f t="shared" ref="AG129:AG156" si="153">ROUND((AP129),6)</f>
        <v>0</v>
      </c>
      <c r="AH129">
        <f>((EW129*1.15))</f>
        <v>169.79749999999999</v>
      </c>
      <c r="AI129">
        <f>((EX129*1.25))</f>
        <v>0</v>
      </c>
      <c r="AJ129">
        <f t="shared" ref="AJ129:AJ156" si="154">(AS129)</f>
        <v>0</v>
      </c>
      <c r="AK129">
        <v>4051.48</v>
      </c>
      <c r="AL129">
        <v>2183.3200000000002</v>
      </c>
      <c r="AM129">
        <v>132.04</v>
      </c>
      <c r="AN129">
        <v>13.9</v>
      </c>
      <c r="AO129">
        <v>1736.12</v>
      </c>
      <c r="AP129">
        <v>0</v>
      </c>
      <c r="AQ129">
        <v>147.65</v>
      </c>
      <c r="AR129">
        <v>0</v>
      </c>
      <c r="AS129">
        <v>0</v>
      </c>
      <c r="AT129">
        <v>75</v>
      </c>
      <c r="AU129">
        <v>41</v>
      </c>
      <c r="AV129">
        <v>1</v>
      </c>
      <c r="AW129">
        <v>1</v>
      </c>
      <c r="AZ129">
        <v>1</v>
      </c>
      <c r="BA129">
        <v>30.1</v>
      </c>
      <c r="BB129">
        <v>11.14</v>
      </c>
      <c r="BC129">
        <v>5.61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1</v>
      </c>
      <c r="BJ129" t="s">
        <v>238</v>
      </c>
      <c r="BM129">
        <v>1688</v>
      </c>
      <c r="BN129">
        <v>36862081</v>
      </c>
      <c r="BO129" t="s">
        <v>235</v>
      </c>
      <c r="BP129">
        <v>1</v>
      </c>
      <c r="BQ129">
        <v>30</v>
      </c>
      <c r="BR129">
        <v>0</v>
      </c>
      <c r="BS129">
        <v>30.1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75</v>
      </c>
      <c r="CA129">
        <v>41</v>
      </c>
      <c r="CB129" t="s">
        <v>3</v>
      </c>
      <c r="CE129">
        <v>30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ref="CP129:CP156" si="155">(P129+Q129+S129)</f>
        <v>12611.04</v>
      </c>
      <c r="CQ129">
        <f t="shared" ref="CQ129:CQ156" si="156">ROUND((ROUND((AC129*AW129*1),2)*BC129),2)</f>
        <v>12248.43</v>
      </c>
      <c r="CR129">
        <f>(ROUND((ROUND((((ET129*1.25))*AV129*1),2)*BB129),2)+ROUND((ROUND(((AE129-((EU129*1.25)))*AV129*1),2)*BS129),2))</f>
        <v>1838.66</v>
      </c>
      <c r="CS129">
        <f t="shared" ref="CS129:CS156" si="157">ROUND((ROUND((AE129*AV129*1),2)*BS129),2)</f>
        <v>523.14</v>
      </c>
      <c r="CT129">
        <f t="shared" ref="CT129:CT156" si="158">ROUND((ROUND((AF129*AV129*1),2)*BA129),2)</f>
        <v>60095.85</v>
      </c>
      <c r="CU129">
        <f t="shared" ref="CU129:CU156" si="159">AG129</f>
        <v>0</v>
      </c>
      <c r="CV129">
        <f t="shared" ref="CV129:CV156" si="160">(AH129*AV129)</f>
        <v>169.79749999999999</v>
      </c>
      <c r="CW129">
        <f t="shared" ref="CW129:CW156" si="161">AI129</f>
        <v>0</v>
      </c>
      <c r="CX129">
        <f t="shared" ref="CX129:CX156" si="162">AJ129</f>
        <v>0</v>
      </c>
      <c r="CY129">
        <f t="shared" ref="CY129:CY156" si="163">S129*(BZ129/100)</f>
        <v>7662.18</v>
      </c>
      <c r="CZ129">
        <f t="shared" ref="CZ129:CZ156" si="164">S129*(CA129/100)</f>
        <v>4188.6583999999993</v>
      </c>
      <c r="DC129" t="s">
        <v>3</v>
      </c>
      <c r="DD129" t="s">
        <v>3</v>
      </c>
      <c r="DE129" t="s">
        <v>51</v>
      </c>
      <c r="DF129" t="s">
        <v>51</v>
      </c>
      <c r="DG129" t="s">
        <v>52</v>
      </c>
      <c r="DH129" t="s">
        <v>3</v>
      </c>
      <c r="DI129" t="s">
        <v>52</v>
      </c>
      <c r="DJ129" t="s">
        <v>51</v>
      </c>
      <c r="DK129" t="s">
        <v>3</v>
      </c>
      <c r="DL129" t="s">
        <v>3</v>
      </c>
      <c r="DM129" t="s">
        <v>3</v>
      </c>
      <c r="DN129">
        <v>91</v>
      </c>
      <c r="DO129">
        <v>70</v>
      </c>
      <c r="DP129">
        <v>1</v>
      </c>
      <c r="DQ129">
        <v>1</v>
      </c>
      <c r="DU129">
        <v>1013</v>
      </c>
      <c r="DV129" t="s">
        <v>237</v>
      </c>
      <c r="DW129" t="s">
        <v>237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53214437</v>
      </c>
      <c r="EF129">
        <v>30</v>
      </c>
      <c r="EG129" t="s">
        <v>37</v>
      </c>
      <c r="EH129">
        <v>0</v>
      </c>
      <c r="EI129" t="s">
        <v>3</v>
      </c>
      <c r="EJ129">
        <v>1</v>
      </c>
      <c r="EK129">
        <v>1688</v>
      </c>
      <c r="EL129" t="s">
        <v>239</v>
      </c>
      <c r="EM129" t="s">
        <v>240</v>
      </c>
      <c r="EO129" t="s">
        <v>3</v>
      </c>
      <c r="EQ129">
        <v>131072</v>
      </c>
      <c r="ER129">
        <v>4051.48</v>
      </c>
      <c r="ES129">
        <v>2183.3200000000002</v>
      </c>
      <c r="ET129">
        <v>132.04</v>
      </c>
      <c r="EU129">
        <v>13.9</v>
      </c>
      <c r="EV129">
        <v>1736.12</v>
      </c>
      <c r="EW129">
        <v>147.65</v>
      </c>
      <c r="EX129">
        <v>0</v>
      </c>
      <c r="EY129">
        <v>0</v>
      </c>
      <c r="FQ129">
        <v>0</v>
      </c>
      <c r="FR129">
        <f t="shared" ref="FR129:FR156" si="165">ROUND(IF(BI129=3,GM129,0),2)</f>
        <v>0</v>
      </c>
      <c r="FS129">
        <v>0</v>
      </c>
      <c r="FX129">
        <v>91</v>
      </c>
      <c r="FY129">
        <v>70</v>
      </c>
      <c r="GA129" t="s">
        <v>3</v>
      </c>
      <c r="GD129">
        <v>0</v>
      </c>
      <c r="GF129">
        <v>-1231377288</v>
      </c>
      <c r="GG129">
        <v>2</v>
      </c>
      <c r="GH129">
        <v>1</v>
      </c>
      <c r="GI129">
        <v>2</v>
      </c>
      <c r="GJ129">
        <v>0</v>
      </c>
      <c r="GK129">
        <f>ROUND(R129*(R12)/100,2)</f>
        <v>142.08000000000001</v>
      </c>
      <c r="GL129">
        <f t="shared" ref="GL129:GL156" si="166">ROUND(IF(AND(BH129=3,BI129=3,FS129&lt;&gt;0),P129,0),2)</f>
        <v>0</v>
      </c>
      <c r="GM129">
        <f t="shared" ref="GM129:GM156" si="167">ROUND(O129+X129+Y129+GK129,2)+GX129</f>
        <v>24603.96</v>
      </c>
      <c r="GN129">
        <f t="shared" ref="GN129:GN156" si="168">IF(OR(BI129=0,BI129=1),GM129,0)</f>
        <v>24603.96</v>
      </c>
      <c r="GO129">
        <f t="shared" ref="GO129:GO156" si="169">IF(BI129=2,GM129,0)</f>
        <v>0</v>
      </c>
      <c r="GP129">
        <f t="shared" ref="GP129:GP156" si="170">IF(BI129=4,GM129+GX129,0)</f>
        <v>0</v>
      </c>
      <c r="GR129">
        <v>0</v>
      </c>
      <c r="GS129">
        <v>3</v>
      </c>
      <c r="GT129">
        <v>0</v>
      </c>
      <c r="GU129" t="s">
        <v>3</v>
      </c>
      <c r="GV129">
        <f t="shared" ref="GV129:GV156" si="171">ROUND((GT129),6)</f>
        <v>0</v>
      </c>
      <c r="GW129">
        <v>1</v>
      </c>
      <c r="GX129">
        <f t="shared" ref="GX129:GX156" si="172">ROUND(HC129*I129,2)</f>
        <v>0</v>
      </c>
      <c r="HA129">
        <v>0</v>
      </c>
      <c r="HB129">
        <v>0</v>
      </c>
      <c r="HC129">
        <f t="shared" ref="HC129:HC156" si="173">GV129*GW129</f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18</v>
      </c>
      <c r="B130">
        <v>1</v>
      </c>
      <c r="C130">
        <v>131</v>
      </c>
      <c r="E130" t="s">
        <v>322</v>
      </c>
      <c r="F130" t="s">
        <v>123</v>
      </c>
      <c r="G130" t="s">
        <v>124</v>
      </c>
      <c r="H130" t="s">
        <v>125</v>
      </c>
      <c r="I130">
        <f>I129*J130</f>
        <v>21.42</v>
      </c>
      <c r="J130">
        <v>126</v>
      </c>
      <c r="K130">
        <v>126</v>
      </c>
      <c r="O130">
        <f t="shared" si="141"/>
        <v>140.54</v>
      </c>
      <c r="P130">
        <f t="shared" si="142"/>
        <v>140.54</v>
      </c>
      <c r="Q130">
        <f>(ROUND((ROUND(((ET130)*AV130*I130),2)*BB130),2)+ROUND((ROUND(((AE130-(EU130))*AV130*I130),2)*BS130),2))</f>
        <v>0</v>
      </c>
      <c r="R130">
        <f t="shared" si="143"/>
        <v>0</v>
      </c>
      <c r="S130">
        <f t="shared" si="144"/>
        <v>0</v>
      </c>
      <c r="T130">
        <f t="shared" si="145"/>
        <v>0</v>
      </c>
      <c r="U130">
        <f t="shared" si="146"/>
        <v>0</v>
      </c>
      <c r="V130">
        <f t="shared" si="147"/>
        <v>0</v>
      </c>
      <c r="W130">
        <f t="shared" si="148"/>
        <v>0</v>
      </c>
      <c r="X130">
        <f t="shared" si="149"/>
        <v>0</v>
      </c>
      <c r="Y130">
        <f t="shared" si="150"/>
        <v>0</v>
      </c>
      <c r="AA130">
        <v>53860087</v>
      </c>
      <c r="AB130">
        <f t="shared" si="151"/>
        <v>0.71</v>
      </c>
      <c r="AC130">
        <f t="shared" si="152"/>
        <v>0.71</v>
      </c>
      <c r="AD130">
        <f>ROUND((((ET130)-(EU130))+AE130),6)</f>
        <v>0</v>
      </c>
      <c r="AE130">
        <f t="shared" ref="AE130:AF134" si="174">ROUND((EU130),6)</f>
        <v>0</v>
      </c>
      <c r="AF130">
        <f t="shared" si="174"/>
        <v>0</v>
      </c>
      <c r="AG130">
        <f t="shared" si="153"/>
        <v>0</v>
      </c>
      <c r="AH130">
        <f t="shared" ref="AH130:AI134" si="175">(EW130)</f>
        <v>0</v>
      </c>
      <c r="AI130">
        <f t="shared" si="175"/>
        <v>0</v>
      </c>
      <c r="AJ130">
        <f t="shared" si="154"/>
        <v>0</v>
      </c>
      <c r="AK130">
        <v>0.71</v>
      </c>
      <c r="AL130">
        <v>0.71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9.24</v>
      </c>
      <c r="BD130" t="s">
        <v>3</v>
      </c>
      <c r="BE130" t="s">
        <v>3</v>
      </c>
      <c r="BF130" t="s">
        <v>3</v>
      </c>
      <c r="BG130" t="s">
        <v>3</v>
      </c>
      <c r="BH130">
        <v>3</v>
      </c>
      <c r="BI130">
        <v>1</v>
      </c>
      <c r="BJ130" t="s">
        <v>126</v>
      </c>
      <c r="BM130">
        <v>1688</v>
      </c>
      <c r="BN130">
        <v>36862081</v>
      </c>
      <c r="BO130" t="s">
        <v>123</v>
      </c>
      <c r="BP130">
        <v>1</v>
      </c>
      <c r="BQ130">
        <v>30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0</v>
      </c>
      <c r="CA130">
        <v>0</v>
      </c>
      <c r="CB130" t="s">
        <v>3</v>
      </c>
      <c r="CE130">
        <v>30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55"/>
        <v>140.54</v>
      </c>
      <c r="CQ130">
        <f t="shared" si="156"/>
        <v>6.56</v>
      </c>
      <c r="CR130">
        <f>(ROUND((ROUND(((ET130)*AV130*1),2)*BB130),2)+ROUND((ROUND(((AE130-(EU130))*AV130*1),2)*BS130),2))</f>
        <v>0</v>
      </c>
      <c r="CS130">
        <f t="shared" si="157"/>
        <v>0</v>
      </c>
      <c r="CT130">
        <f t="shared" si="158"/>
        <v>0</v>
      </c>
      <c r="CU130">
        <f t="shared" si="159"/>
        <v>0</v>
      </c>
      <c r="CV130">
        <f t="shared" si="160"/>
        <v>0</v>
      </c>
      <c r="CW130">
        <f t="shared" si="161"/>
        <v>0</v>
      </c>
      <c r="CX130">
        <f t="shared" si="162"/>
        <v>0</v>
      </c>
      <c r="CY130">
        <f t="shared" si="163"/>
        <v>0</v>
      </c>
      <c r="CZ130">
        <f t="shared" si="164"/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91</v>
      </c>
      <c r="DO130">
        <v>70</v>
      </c>
      <c r="DP130">
        <v>1</v>
      </c>
      <c r="DQ130">
        <v>1</v>
      </c>
      <c r="DU130">
        <v>1003</v>
      </c>
      <c r="DV130" t="s">
        <v>125</v>
      </c>
      <c r="DW130" t="s">
        <v>125</v>
      </c>
      <c r="DX130">
        <v>1</v>
      </c>
      <c r="DZ130" t="s">
        <v>3</v>
      </c>
      <c r="EA130" t="s">
        <v>3</v>
      </c>
      <c r="EB130" t="s">
        <v>3</v>
      </c>
      <c r="EC130" t="s">
        <v>3</v>
      </c>
      <c r="EE130">
        <v>53214437</v>
      </c>
      <c r="EF130">
        <v>30</v>
      </c>
      <c r="EG130" t="s">
        <v>37</v>
      </c>
      <c r="EH130">
        <v>0</v>
      </c>
      <c r="EI130" t="s">
        <v>3</v>
      </c>
      <c r="EJ130">
        <v>1</v>
      </c>
      <c r="EK130">
        <v>1688</v>
      </c>
      <c r="EL130" t="s">
        <v>239</v>
      </c>
      <c r="EM130" t="s">
        <v>240</v>
      </c>
      <c r="EO130" t="s">
        <v>3</v>
      </c>
      <c r="EQ130">
        <v>0</v>
      </c>
      <c r="ER130">
        <v>0.71</v>
      </c>
      <c r="ES130">
        <v>0.71</v>
      </c>
      <c r="ET130">
        <v>0</v>
      </c>
      <c r="EU130">
        <v>0</v>
      </c>
      <c r="EV130">
        <v>0</v>
      </c>
      <c r="EW130">
        <v>0</v>
      </c>
      <c r="EX130">
        <v>0</v>
      </c>
      <c r="FQ130">
        <v>0</v>
      </c>
      <c r="FR130">
        <f t="shared" si="165"/>
        <v>0</v>
      </c>
      <c r="FS130">
        <v>0</v>
      </c>
      <c r="FX130">
        <v>91</v>
      </c>
      <c r="FY130">
        <v>70</v>
      </c>
      <c r="GA130" t="s">
        <v>3</v>
      </c>
      <c r="GD130">
        <v>0</v>
      </c>
      <c r="GF130">
        <v>-1897368516</v>
      </c>
      <c r="GG130">
        <v>2</v>
      </c>
      <c r="GH130">
        <v>1</v>
      </c>
      <c r="GI130">
        <v>2</v>
      </c>
      <c r="GJ130">
        <v>0</v>
      </c>
      <c r="GK130">
        <f>ROUND(R130*(R12)/100,2)</f>
        <v>0</v>
      </c>
      <c r="GL130">
        <f t="shared" si="166"/>
        <v>0</v>
      </c>
      <c r="GM130">
        <f t="shared" si="167"/>
        <v>140.54</v>
      </c>
      <c r="GN130">
        <f t="shared" si="168"/>
        <v>140.54</v>
      </c>
      <c r="GO130">
        <f t="shared" si="169"/>
        <v>0</v>
      </c>
      <c r="GP130">
        <f t="shared" si="170"/>
        <v>0</v>
      </c>
      <c r="GR130">
        <v>0</v>
      </c>
      <c r="GS130">
        <v>3</v>
      </c>
      <c r="GT130">
        <v>0</v>
      </c>
      <c r="GU130" t="s">
        <v>3</v>
      </c>
      <c r="GV130">
        <f t="shared" si="171"/>
        <v>0</v>
      </c>
      <c r="GW130">
        <v>1</v>
      </c>
      <c r="GX130">
        <f t="shared" si="172"/>
        <v>0</v>
      </c>
      <c r="HA130">
        <v>0</v>
      </c>
      <c r="HB130">
        <v>0</v>
      </c>
      <c r="HC130">
        <f t="shared" si="173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18</v>
      </c>
      <c r="B131">
        <v>1</v>
      </c>
      <c r="C131">
        <v>135</v>
      </c>
      <c r="E131" t="s">
        <v>323</v>
      </c>
      <c r="F131" t="s">
        <v>324</v>
      </c>
      <c r="G131" t="s">
        <v>325</v>
      </c>
      <c r="H131" t="s">
        <v>125</v>
      </c>
      <c r="I131">
        <f>I129*J131</f>
        <v>34.68</v>
      </c>
      <c r="J131">
        <v>203.99999999999997</v>
      </c>
      <c r="K131">
        <v>204</v>
      </c>
      <c r="O131">
        <f t="shared" si="141"/>
        <v>3424.83</v>
      </c>
      <c r="P131">
        <f t="shared" si="142"/>
        <v>3424.83</v>
      </c>
      <c r="Q131">
        <f>(ROUND((ROUND(((ET131)*AV131*I131),2)*BB131),2)+ROUND((ROUND(((AE131-(EU131))*AV131*I131),2)*BS131),2))</f>
        <v>0</v>
      </c>
      <c r="R131">
        <f t="shared" si="143"/>
        <v>0</v>
      </c>
      <c r="S131">
        <f t="shared" si="144"/>
        <v>0</v>
      </c>
      <c r="T131">
        <f t="shared" si="145"/>
        <v>0</v>
      </c>
      <c r="U131">
        <f t="shared" si="146"/>
        <v>0</v>
      </c>
      <c r="V131">
        <f t="shared" si="147"/>
        <v>0</v>
      </c>
      <c r="W131">
        <f t="shared" si="148"/>
        <v>0</v>
      </c>
      <c r="X131">
        <f t="shared" si="149"/>
        <v>0</v>
      </c>
      <c r="Y131">
        <f t="shared" si="150"/>
        <v>0</v>
      </c>
      <c r="AA131">
        <v>53860087</v>
      </c>
      <c r="AB131">
        <f t="shared" si="151"/>
        <v>19.440000000000001</v>
      </c>
      <c r="AC131">
        <f t="shared" si="152"/>
        <v>19.440000000000001</v>
      </c>
      <c r="AD131">
        <f>ROUND((((ET131)-(EU131))+AE131),6)</f>
        <v>0</v>
      </c>
      <c r="AE131">
        <f t="shared" si="174"/>
        <v>0</v>
      </c>
      <c r="AF131">
        <f t="shared" si="174"/>
        <v>0</v>
      </c>
      <c r="AG131">
        <f t="shared" si="153"/>
        <v>0</v>
      </c>
      <c r="AH131">
        <f t="shared" si="175"/>
        <v>0</v>
      </c>
      <c r="AI131">
        <f t="shared" si="175"/>
        <v>0</v>
      </c>
      <c r="AJ131">
        <f t="shared" si="154"/>
        <v>0</v>
      </c>
      <c r="AK131">
        <v>19.440000000000001</v>
      </c>
      <c r="AL131">
        <v>19.440000000000001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5.08</v>
      </c>
      <c r="BD131" t="s">
        <v>3</v>
      </c>
      <c r="BE131" t="s">
        <v>3</v>
      </c>
      <c r="BF131" t="s">
        <v>3</v>
      </c>
      <c r="BG131" t="s">
        <v>3</v>
      </c>
      <c r="BH131">
        <v>3</v>
      </c>
      <c r="BI131">
        <v>1</v>
      </c>
      <c r="BJ131" t="s">
        <v>326</v>
      </c>
      <c r="BM131">
        <v>1688</v>
      </c>
      <c r="BN131">
        <v>36862081</v>
      </c>
      <c r="BO131" t="s">
        <v>324</v>
      </c>
      <c r="BP131">
        <v>1</v>
      </c>
      <c r="BQ131">
        <v>30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0</v>
      </c>
      <c r="CA131">
        <v>0</v>
      </c>
      <c r="CB131" t="s">
        <v>3</v>
      </c>
      <c r="CE131">
        <v>30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55"/>
        <v>3424.83</v>
      </c>
      <c r="CQ131">
        <f t="shared" si="156"/>
        <v>98.76</v>
      </c>
      <c r="CR131">
        <f>(ROUND((ROUND(((ET131)*AV131*1),2)*BB131),2)+ROUND((ROUND(((AE131-(EU131))*AV131*1),2)*BS131),2))</f>
        <v>0</v>
      </c>
      <c r="CS131">
        <f t="shared" si="157"/>
        <v>0</v>
      </c>
      <c r="CT131">
        <f t="shared" si="158"/>
        <v>0</v>
      </c>
      <c r="CU131">
        <f t="shared" si="159"/>
        <v>0</v>
      </c>
      <c r="CV131">
        <f t="shared" si="160"/>
        <v>0</v>
      </c>
      <c r="CW131">
        <f t="shared" si="161"/>
        <v>0</v>
      </c>
      <c r="CX131">
        <f t="shared" si="162"/>
        <v>0</v>
      </c>
      <c r="CY131">
        <f t="shared" si="163"/>
        <v>0</v>
      </c>
      <c r="CZ131">
        <f t="shared" si="164"/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91</v>
      </c>
      <c r="DO131">
        <v>70</v>
      </c>
      <c r="DP131">
        <v>1</v>
      </c>
      <c r="DQ131">
        <v>1</v>
      </c>
      <c r="DU131">
        <v>1003</v>
      </c>
      <c r="DV131" t="s">
        <v>125</v>
      </c>
      <c r="DW131" t="s">
        <v>125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53214437</v>
      </c>
      <c r="EF131">
        <v>30</v>
      </c>
      <c r="EG131" t="s">
        <v>37</v>
      </c>
      <c r="EH131">
        <v>0</v>
      </c>
      <c r="EI131" t="s">
        <v>3</v>
      </c>
      <c r="EJ131">
        <v>1</v>
      </c>
      <c r="EK131">
        <v>1688</v>
      </c>
      <c r="EL131" t="s">
        <v>239</v>
      </c>
      <c r="EM131" t="s">
        <v>240</v>
      </c>
      <c r="EO131" t="s">
        <v>3</v>
      </c>
      <c r="EQ131">
        <v>0</v>
      </c>
      <c r="ER131">
        <v>19.440000000000001</v>
      </c>
      <c r="ES131">
        <v>19.440000000000001</v>
      </c>
      <c r="ET131">
        <v>0</v>
      </c>
      <c r="EU131">
        <v>0</v>
      </c>
      <c r="EV131">
        <v>0</v>
      </c>
      <c r="EW131">
        <v>0</v>
      </c>
      <c r="EX131">
        <v>0</v>
      </c>
      <c r="FQ131">
        <v>0</v>
      </c>
      <c r="FR131">
        <f t="shared" si="165"/>
        <v>0</v>
      </c>
      <c r="FS131">
        <v>0</v>
      </c>
      <c r="FX131">
        <v>91</v>
      </c>
      <c r="FY131">
        <v>70</v>
      </c>
      <c r="GA131" t="s">
        <v>3</v>
      </c>
      <c r="GD131">
        <v>0</v>
      </c>
      <c r="GF131">
        <v>622983818</v>
      </c>
      <c r="GG131">
        <v>2</v>
      </c>
      <c r="GH131">
        <v>1</v>
      </c>
      <c r="GI131">
        <v>2</v>
      </c>
      <c r="GJ131">
        <v>0</v>
      </c>
      <c r="GK131">
        <f>ROUND(R131*(R12)/100,2)</f>
        <v>0</v>
      </c>
      <c r="GL131">
        <f t="shared" si="166"/>
        <v>0</v>
      </c>
      <c r="GM131">
        <f t="shared" si="167"/>
        <v>3424.83</v>
      </c>
      <c r="GN131">
        <f t="shared" si="168"/>
        <v>3424.83</v>
      </c>
      <c r="GO131">
        <f t="shared" si="169"/>
        <v>0</v>
      </c>
      <c r="GP131">
        <f t="shared" si="170"/>
        <v>0</v>
      </c>
      <c r="GR131">
        <v>0</v>
      </c>
      <c r="GS131">
        <v>3</v>
      </c>
      <c r="GT131">
        <v>0</v>
      </c>
      <c r="GU131" t="s">
        <v>3</v>
      </c>
      <c r="GV131">
        <f t="shared" si="171"/>
        <v>0</v>
      </c>
      <c r="GW131">
        <v>1</v>
      </c>
      <c r="GX131">
        <f t="shared" si="172"/>
        <v>0</v>
      </c>
      <c r="HA131">
        <v>0</v>
      </c>
      <c r="HB131">
        <v>0</v>
      </c>
      <c r="HC131">
        <f t="shared" si="173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18</v>
      </c>
      <c r="B132">
        <v>1</v>
      </c>
      <c r="C132">
        <v>134</v>
      </c>
      <c r="E132" t="s">
        <v>327</v>
      </c>
      <c r="F132" t="s">
        <v>328</v>
      </c>
      <c r="G132" t="s">
        <v>329</v>
      </c>
      <c r="H132" t="s">
        <v>125</v>
      </c>
      <c r="I132">
        <f>I129*J132</f>
        <v>12.920000000000002</v>
      </c>
      <c r="J132">
        <v>76</v>
      </c>
      <c r="K132">
        <v>76</v>
      </c>
      <c r="O132">
        <f t="shared" si="141"/>
        <v>1179</v>
      </c>
      <c r="P132">
        <f t="shared" si="142"/>
        <v>1179</v>
      </c>
      <c r="Q132">
        <f>(ROUND((ROUND(((ET132)*AV132*I132),2)*BB132),2)+ROUND((ROUND(((AE132-(EU132))*AV132*I132),2)*BS132),2))</f>
        <v>0</v>
      </c>
      <c r="R132">
        <f t="shared" si="143"/>
        <v>0</v>
      </c>
      <c r="S132">
        <f t="shared" si="144"/>
        <v>0</v>
      </c>
      <c r="T132">
        <f t="shared" si="145"/>
        <v>0</v>
      </c>
      <c r="U132">
        <f t="shared" si="146"/>
        <v>0</v>
      </c>
      <c r="V132">
        <f t="shared" si="147"/>
        <v>0</v>
      </c>
      <c r="W132">
        <f t="shared" si="148"/>
        <v>0</v>
      </c>
      <c r="X132">
        <f t="shared" si="149"/>
        <v>0</v>
      </c>
      <c r="Y132">
        <f t="shared" si="150"/>
        <v>0</v>
      </c>
      <c r="AA132">
        <v>53860087</v>
      </c>
      <c r="AB132">
        <f t="shared" si="151"/>
        <v>23.58</v>
      </c>
      <c r="AC132">
        <f t="shared" si="152"/>
        <v>23.58</v>
      </c>
      <c r="AD132">
        <f>ROUND((((ET132)-(EU132))+AE132),6)</f>
        <v>0</v>
      </c>
      <c r="AE132">
        <f t="shared" si="174"/>
        <v>0</v>
      </c>
      <c r="AF132">
        <f t="shared" si="174"/>
        <v>0</v>
      </c>
      <c r="AG132">
        <f t="shared" si="153"/>
        <v>0</v>
      </c>
      <c r="AH132">
        <f t="shared" si="175"/>
        <v>0</v>
      </c>
      <c r="AI132">
        <f t="shared" si="175"/>
        <v>0</v>
      </c>
      <c r="AJ132">
        <f t="shared" si="154"/>
        <v>0</v>
      </c>
      <c r="AK132">
        <v>23.58</v>
      </c>
      <c r="AL132">
        <v>23.58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3.87</v>
      </c>
      <c r="BD132" t="s">
        <v>3</v>
      </c>
      <c r="BE132" t="s">
        <v>3</v>
      </c>
      <c r="BF132" t="s">
        <v>3</v>
      </c>
      <c r="BG132" t="s">
        <v>3</v>
      </c>
      <c r="BH132">
        <v>3</v>
      </c>
      <c r="BI132">
        <v>1</v>
      </c>
      <c r="BJ132" t="s">
        <v>330</v>
      </c>
      <c r="BM132">
        <v>1688</v>
      </c>
      <c r="BN132">
        <v>36862081</v>
      </c>
      <c r="BO132" t="s">
        <v>328</v>
      </c>
      <c r="BP132">
        <v>1</v>
      </c>
      <c r="BQ132">
        <v>30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0</v>
      </c>
      <c r="CA132">
        <v>0</v>
      </c>
      <c r="CB132" t="s">
        <v>3</v>
      </c>
      <c r="CE132">
        <v>30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55"/>
        <v>1179</v>
      </c>
      <c r="CQ132">
        <f t="shared" si="156"/>
        <v>91.25</v>
      </c>
      <c r="CR132">
        <f>(ROUND((ROUND(((ET132)*AV132*1),2)*BB132),2)+ROUND((ROUND(((AE132-(EU132))*AV132*1),2)*BS132),2))</f>
        <v>0</v>
      </c>
      <c r="CS132">
        <f t="shared" si="157"/>
        <v>0</v>
      </c>
      <c r="CT132">
        <f t="shared" si="158"/>
        <v>0</v>
      </c>
      <c r="CU132">
        <f t="shared" si="159"/>
        <v>0</v>
      </c>
      <c r="CV132">
        <f t="shared" si="160"/>
        <v>0</v>
      </c>
      <c r="CW132">
        <f t="shared" si="161"/>
        <v>0</v>
      </c>
      <c r="CX132">
        <f t="shared" si="162"/>
        <v>0</v>
      </c>
      <c r="CY132">
        <f t="shared" si="163"/>
        <v>0</v>
      </c>
      <c r="CZ132">
        <f t="shared" si="164"/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91</v>
      </c>
      <c r="DO132">
        <v>70</v>
      </c>
      <c r="DP132">
        <v>1</v>
      </c>
      <c r="DQ132">
        <v>1</v>
      </c>
      <c r="DU132">
        <v>1003</v>
      </c>
      <c r="DV132" t="s">
        <v>125</v>
      </c>
      <c r="DW132" t="s">
        <v>125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53214437</v>
      </c>
      <c r="EF132">
        <v>30</v>
      </c>
      <c r="EG132" t="s">
        <v>37</v>
      </c>
      <c r="EH132">
        <v>0</v>
      </c>
      <c r="EI132" t="s">
        <v>3</v>
      </c>
      <c r="EJ132">
        <v>1</v>
      </c>
      <c r="EK132">
        <v>1688</v>
      </c>
      <c r="EL132" t="s">
        <v>239</v>
      </c>
      <c r="EM132" t="s">
        <v>240</v>
      </c>
      <c r="EO132" t="s">
        <v>3</v>
      </c>
      <c r="EQ132">
        <v>0</v>
      </c>
      <c r="ER132">
        <v>23.58</v>
      </c>
      <c r="ES132">
        <v>23.58</v>
      </c>
      <c r="ET132">
        <v>0</v>
      </c>
      <c r="EU132">
        <v>0</v>
      </c>
      <c r="EV132">
        <v>0</v>
      </c>
      <c r="EW132">
        <v>0</v>
      </c>
      <c r="EX132">
        <v>0</v>
      </c>
      <c r="FQ132">
        <v>0</v>
      </c>
      <c r="FR132">
        <f t="shared" si="165"/>
        <v>0</v>
      </c>
      <c r="FS132">
        <v>0</v>
      </c>
      <c r="FX132">
        <v>91</v>
      </c>
      <c r="FY132">
        <v>70</v>
      </c>
      <c r="GA132" t="s">
        <v>3</v>
      </c>
      <c r="GD132">
        <v>0</v>
      </c>
      <c r="GF132">
        <v>-1730858988</v>
      </c>
      <c r="GG132">
        <v>2</v>
      </c>
      <c r="GH132">
        <v>1</v>
      </c>
      <c r="GI132">
        <v>2</v>
      </c>
      <c r="GJ132">
        <v>0</v>
      </c>
      <c r="GK132">
        <f>ROUND(R132*(R12)/100,2)</f>
        <v>0</v>
      </c>
      <c r="GL132">
        <f t="shared" si="166"/>
        <v>0</v>
      </c>
      <c r="GM132">
        <f t="shared" si="167"/>
        <v>1179</v>
      </c>
      <c r="GN132">
        <f t="shared" si="168"/>
        <v>1179</v>
      </c>
      <c r="GO132">
        <f t="shared" si="169"/>
        <v>0</v>
      </c>
      <c r="GP132">
        <f t="shared" si="170"/>
        <v>0</v>
      </c>
      <c r="GR132">
        <v>0</v>
      </c>
      <c r="GS132">
        <v>3</v>
      </c>
      <c r="GT132">
        <v>0</v>
      </c>
      <c r="GU132" t="s">
        <v>3</v>
      </c>
      <c r="GV132">
        <f t="shared" si="171"/>
        <v>0</v>
      </c>
      <c r="GW132">
        <v>1</v>
      </c>
      <c r="GX132">
        <f t="shared" si="172"/>
        <v>0</v>
      </c>
      <c r="HA132">
        <v>0</v>
      </c>
      <c r="HB132">
        <v>0</v>
      </c>
      <c r="HC132">
        <f t="shared" si="173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18</v>
      </c>
      <c r="B133">
        <v>1</v>
      </c>
      <c r="C133">
        <v>132</v>
      </c>
      <c r="E133" t="s">
        <v>331</v>
      </c>
      <c r="F133" t="s">
        <v>332</v>
      </c>
      <c r="G133" t="s">
        <v>333</v>
      </c>
      <c r="H133" t="s">
        <v>100</v>
      </c>
      <c r="I133">
        <f>I129*J133</f>
        <v>71.569999999999993</v>
      </c>
      <c r="J133">
        <v>420.99999999999994</v>
      </c>
      <c r="K133">
        <v>421</v>
      </c>
      <c r="O133">
        <f t="shared" si="141"/>
        <v>11442.25</v>
      </c>
      <c r="P133">
        <f t="shared" si="142"/>
        <v>11442.25</v>
      </c>
      <c r="Q133">
        <f>(ROUND((ROUND(((ET133)*AV133*I133),2)*BB133),2)+ROUND((ROUND(((AE133-(EU133))*AV133*I133),2)*BS133),2))</f>
        <v>0</v>
      </c>
      <c r="R133">
        <f t="shared" si="143"/>
        <v>0</v>
      </c>
      <c r="S133">
        <f t="shared" si="144"/>
        <v>0</v>
      </c>
      <c r="T133">
        <f t="shared" si="145"/>
        <v>0</v>
      </c>
      <c r="U133">
        <f t="shared" si="146"/>
        <v>0</v>
      </c>
      <c r="V133">
        <f t="shared" si="147"/>
        <v>0</v>
      </c>
      <c r="W133">
        <f t="shared" si="148"/>
        <v>0</v>
      </c>
      <c r="X133">
        <f t="shared" si="149"/>
        <v>0</v>
      </c>
      <c r="Y133">
        <f t="shared" si="150"/>
        <v>0</v>
      </c>
      <c r="AA133">
        <v>53860087</v>
      </c>
      <c r="AB133">
        <f t="shared" si="151"/>
        <v>34.68</v>
      </c>
      <c r="AC133">
        <f t="shared" si="152"/>
        <v>34.68</v>
      </c>
      <c r="AD133">
        <f>ROUND((((ET133)-(EU133))+AE133),6)</f>
        <v>0</v>
      </c>
      <c r="AE133">
        <f t="shared" si="174"/>
        <v>0</v>
      </c>
      <c r="AF133">
        <f t="shared" si="174"/>
        <v>0</v>
      </c>
      <c r="AG133">
        <f t="shared" si="153"/>
        <v>0</v>
      </c>
      <c r="AH133">
        <f t="shared" si="175"/>
        <v>0</v>
      </c>
      <c r="AI133">
        <f t="shared" si="175"/>
        <v>0</v>
      </c>
      <c r="AJ133">
        <f t="shared" si="154"/>
        <v>0</v>
      </c>
      <c r="AK133">
        <v>34.68</v>
      </c>
      <c r="AL133">
        <v>34.68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4.6100000000000003</v>
      </c>
      <c r="BD133" t="s">
        <v>3</v>
      </c>
      <c r="BE133" t="s">
        <v>3</v>
      </c>
      <c r="BF133" t="s">
        <v>3</v>
      </c>
      <c r="BG133" t="s">
        <v>3</v>
      </c>
      <c r="BH133">
        <v>3</v>
      </c>
      <c r="BI133">
        <v>1</v>
      </c>
      <c r="BJ133" t="s">
        <v>334</v>
      </c>
      <c r="BM133">
        <v>1688</v>
      </c>
      <c r="BN133">
        <v>36862081</v>
      </c>
      <c r="BO133" t="s">
        <v>332</v>
      </c>
      <c r="BP133">
        <v>1</v>
      </c>
      <c r="BQ133">
        <v>30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0</v>
      </c>
      <c r="CA133">
        <v>0</v>
      </c>
      <c r="CB133" t="s">
        <v>3</v>
      </c>
      <c r="CE133">
        <v>30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55"/>
        <v>11442.25</v>
      </c>
      <c r="CQ133">
        <f t="shared" si="156"/>
        <v>159.87</v>
      </c>
      <c r="CR133">
        <f>(ROUND((ROUND(((ET133)*AV133*1),2)*BB133),2)+ROUND((ROUND(((AE133-(EU133))*AV133*1),2)*BS133),2))</f>
        <v>0</v>
      </c>
      <c r="CS133">
        <f t="shared" si="157"/>
        <v>0</v>
      </c>
      <c r="CT133">
        <f t="shared" si="158"/>
        <v>0</v>
      </c>
      <c r="CU133">
        <f t="shared" si="159"/>
        <v>0</v>
      </c>
      <c r="CV133">
        <f t="shared" si="160"/>
        <v>0</v>
      </c>
      <c r="CW133">
        <f t="shared" si="161"/>
        <v>0</v>
      </c>
      <c r="CX133">
        <f t="shared" si="162"/>
        <v>0</v>
      </c>
      <c r="CY133">
        <f t="shared" si="163"/>
        <v>0</v>
      </c>
      <c r="CZ133">
        <f t="shared" si="164"/>
        <v>0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91</v>
      </c>
      <c r="DO133">
        <v>70</v>
      </c>
      <c r="DP133">
        <v>1</v>
      </c>
      <c r="DQ133">
        <v>1</v>
      </c>
      <c r="DU133">
        <v>1005</v>
      </c>
      <c r="DV133" t="s">
        <v>100</v>
      </c>
      <c r="DW133" t="s">
        <v>100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53214437</v>
      </c>
      <c r="EF133">
        <v>30</v>
      </c>
      <c r="EG133" t="s">
        <v>37</v>
      </c>
      <c r="EH133">
        <v>0</v>
      </c>
      <c r="EI133" t="s">
        <v>3</v>
      </c>
      <c r="EJ133">
        <v>1</v>
      </c>
      <c r="EK133">
        <v>1688</v>
      </c>
      <c r="EL133" t="s">
        <v>239</v>
      </c>
      <c r="EM133" t="s">
        <v>240</v>
      </c>
      <c r="EO133" t="s">
        <v>3</v>
      </c>
      <c r="EQ133">
        <v>0</v>
      </c>
      <c r="ER133">
        <v>34.68</v>
      </c>
      <c r="ES133">
        <v>34.68</v>
      </c>
      <c r="ET133">
        <v>0</v>
      </c>
      <c r="EU133">
        <v>0</v>
      </c>
      <c r="EV133">
        <v>0</v>
      </c>
      <c r="EW133">
        <v>0</v>
      </c>
      <c r="EX133">
        <v>0</v>
      </c>
      <c r="FQ133">
        <v>0</v>
      </c>
      <c r="FR133">
        <f t="shared" si="165"/>
        <v>0</v>
      </c>
      <c r="FS133">
        <v>0</v>
      </c>
      <c r="FX133">
        <v>91</v>
      </c>
      <c r="FY133">
        <v>70</v>
      </c>
      <c r="GA133" t="s">
        <v>3</v>
      </c>
      <c r="GD133">
        <v>0</v>
      </c>
      <c r="GF133">
        <v>-1525290802</v>
      </c>
      <c r="GG133">
        <v>2</v>
      </c>
      <c r="GH133">
        <v>1</v>
      </c>
      <c r="GI133">
        <v>2</v>
      </c>
      <c r="GJ133">
        <v>0</v>
      </c>
      <c r="GK133">
        <f>ROUND(R133*(R12)/100,2)</f>
        <v>0</v>
      </c>
      <c r="GL133">
        <f t="shared" si="166"/>
        <v>0</v>
      </c>
      <c r="GM133">
        <f t="shared" si="167"/>
        <v>11442.25</v>
      </c>
      <c r="GN133">
        <f t="shared" si="168"/>
        <v>11442.25</v>
      </c>
      <c r="GO133">
        <f t="shared" si="169"/>
        <v>0</v>
      </c>
      <c r="GP133">
        <f t="shared" si="170"/>
        <v>0</v>
      </c>
      <c r="GR133">
        <v>0</v>
      </c>
      <c r="GS133">
        <v>3</v>
      </c>
      <c r="GT133">
        <v>0</v>
      </c>
      <c r="GU133" t="s">
        <v>3</v>
      </c>
      <c r="GV133">
        <f t="shared" si="171"/>
        <v>0</v>
      </c>
      <c r="GW133">
        <v>1</v>
      </c>
      <c r="GX133">
        <f t="shared" si="172"/>
        <v>0</v>
      </c>
      <c r="HA133">
        <v>0</v>
      </c>
      <c r="HB133">
        <v>0</v>
      </c>
      <c r="HC133">
        <f t="shared" si="173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18</v>
      </c>
      <c r="B134">
        <v>1</v>
      </c>
      <c r="C134">
        <v>133</v>
      </c>
      <c r="E134" t="s">
        <v>335</v>
      </c>
      <c r="F134" t="s">
        <v>336</v>
      </c>
      <c r="G134" t="s">
        <v>337</v>
      </c>
      <c r="H134" t="s">
        <v>70</v>
      </c>
      <c r="I134">
        <f>I129*J134</f>
        <v>0.84999999999999987</v>
      </c>
      <c r="J134">
        <v>4.9999999999999991</v>
      </c>
      <c r="K134">
        <v>5</v>
      </c>
      <c r="O134">
        <f t="shared" si="141"/>
        <v>4536.72</v>
      </c>
      <c r="P134">
        <f t="shared" si="142"/>
        <v>4536.72</v>
      </c>
      <c r="Q134">
        <f>(ROUND((ROUND(((ET134)*AV134*I134),2)*BB134),2)+ROUND((ROUND(((AE134-(EU134))*AV134*I134),2)*BS134),2))</f>
        <v>0</v>
      </c>
      <c r="R134">
        <f t="shared" si="143"/>
        <v>0</v>
      </c>
      <c r="S134">
        <f t="shared" si="144"/>
        <v>0</v>
      </c>
      <c r="T134">
        <f t="shared" si="145"/>
        <v>0</v>
      </c>
      <c r="U134">
        <f t="shared" si="146"/>
        <v>0</v>
      </c>
      <c r="V134">
        <f t="shared" si="147"/>
        <v>0</v>
      </c>
      <c r="W134">
        <f t="shared" si="148"/>
        <v>0</v>
      </c>
      <c r="X134">
        <f t="shared" si="149"/>
        <v>0</v>
      </c>
      <c r="Y134">
        <f t="shared" si="150"/>
        <v>0</v>
      </c>
      <c r="AA134">
        <v>53860087</v>
      </c>
      <c r="AB134">
        <f t="shared" si="151"/>
        <v>609.28</v>
      </c>
      <c r="AC134">
        <f t="shared" si="152"/>
        <v>609.28</v>
      </c>
      <c r="AD134">
        <f>ROUND((((ET134)-(EU134))+AE134),6)</f>
        <v>0</v>
      </c>
      <c r="AE134">
        <f t="shared" si="174"/>
        <v>0</v>
      </c>
      <c r="AF134">
        <f t="shared" si="174"/>
        <v>0</v>
      </c>
      <c r="AG134">
        <f t="shared" si="153"/>
        <v>0</v>
      </c>
      <c r="AH134">
        <f t="shared" si="175"/>
        <v>0</v>
      </c>
      <c r="AI134">
        <f t="shared" si="175"/>
        <v>0</v>
      </c>
      <c r="AJ134">
        <f t="shared" si="154"/>
        <v>0</v>
      </c>
      <c r="AK134">
        <v>609.28</v>
      </c>
      <c r="AL134">
        <v>609.28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8.76</v>
      </c>
      <c r="BD134" t="s">
        <v>3</v>
      </c>
      <c r="BE134" t="s">
        <v>3</v>
      </c>
      <c r="BF134" t="s">
        <v>3</v>
      </c>
      <c r="BG134" t="s">
        <v>3</v>
      </c>
      <c r="BH134">
        <v>3</v>
      </c>
      <c r="BI134">
        <v>1</v>
      </c>
      <c r="BJ134" t="s">
        <v>338</v>
      </c>
      <c r="BM134">
        <v>1688</v>
      </c>
      <c r="BN134">
        <v>36862081</v>
      </c>
      <c r="BO134" t="s">
        <v>336</v>
      </c>
      <c r="BP134">
        <v>1</v>
      </c>
      <c r="BQ134">
        <v>30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0</v>
      </c>
      <c r="CA134">
        <v>0</v>
      </c>
      <c r="CB134" t="s">
        <v>3</v>
      </c>
      <c r="CE134">
        <v>30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55"/>
        <v>4536.72</v>
      </c>
      <c r="CQ134">
        <f t="shared" si="156"/>
        <v>5337.29</v>
      </c>
      <c r="CR134">
        <f>(ROUND((ROUND(((ET134)*AV134*1),2)*BB134),2)+ROUND((ROUND(((AE134-(EU134))*AV134*1),2)*BS134),2))</f>
        <v>0</v>
      </c>
      <c r="CS134">
        <f t="shared" si="157"/>
        <v>0</v>
      </c>
      <c r="CT134">
        <f t="shared" si="158"/>
        <v>0</v>
      </c>
      <c r="CU134">
        <f t="shared" si="159"/>
        <v>0</v>
      </c>
      <c r="CV134">
        <f t="shared" si="160"/>
        <v>0</v>
      </c>
      <c r="CW134">
        <f t="shared" si="161"/>
        <v>0</v>
      </c>
      <c r="CX134">
        <f t="shared" si="162"/>
        <v>0</v>
      </c>
      <c r="CY134">
        <f t="shared" si="163"/>
        <v>0</v>
      </c>
      <c r="CZ134">
        <f t="shared" si="164"/>
        <v>0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91</v>
      </c>
      <c r="DO134">
        <v>70</v>
      </c>
      <c r="DP134">
        <v>1</v>
      </c>
      <c r="DQ134">
        <v>1</v>
      </c>
      <c r="DU134">
        <v>1007</v>
      </c>
      <c r="DV134" t="s">
        <v>70</v>
      </c>
      <c r="DW134" t="s">
        <v>70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53214437</v>
      </c>
      <c r="EF134">
        <v>30</v>
      </c>
      <c r="EG134" t="s">
        <v>37</v>
      </c>
      <c r="EH134">
        <v>0</v>
      </c>
      <c r="EI134" t="s">
        <v>3</v>
      </c>
      <c r="EJ134">
        <v>1</v>
      </c>
      <c r="EK134">
        <v>1688</v>
      </c>
      <c r="EL134" t="s">
        <v>239</v>
      </c>
      <c r="EM134" t="s">
        <v>240</v>
      </c>
      <c r="EO134" t="s">
        <v>3</v>
      </c>
      <c r="EQ134">
        <v>0</v>
      </c>
      <c r="ER134">
        <v>609.28</v>
      </c>
      <c r="ES134">
        <v>609.28</v>
      </c>
      <c r="ET134">
        <v>0</v>
      </c>
      <c r="EU134">
        <v>0</v>
      </c>
      <c r="EV134">
        <v>0</v>
      </c>
      <c r="EW134">
        <v>0</v>
      </c>
      <c r="EX134">
        <v>0</v>
      </c>
      <c r="FQ134">
        <v>0</v>
      </c>
      <c r="FR134">
        <f t="shared" si="165"/>
        <v>0</v>
      </c>
      <c r="FS134">
        <v>0</v>
      </c>
      <c r="FX134">
        <v>91</v>
      </c>
      <c r="FY134">
        <v>70</v>
      </c>
      <c r="GA134" t="s">
        <v>3</v>
      </c>
      <c r="GD134">
        <v>0</v>
      </c>
      <c r="GF134">
        <v>724318371</v>
      </c>
      <c r="GG134">
        <v>2</v>
      </c>
      <c r="GH134">
        <v>1</v>
      </c>
      <c r="GI134">
        <v>2</v>
      </c>
      <c r="GJ134">
        <v>0</v>
      </c>
      <c r="GK134">
        <f>ROUND(R134*(R12)/100,2)</f>
        <v>0</v>
      </c>
      <c r="GL134">
        <f t="shared" si="166"/>
        <v>0</v>
      </c>
      <c r="GM134">
        <f t="shared" si="167"/>
        <v>4536.72</v>
      </c>
      <c r="GN134">
        <f t="shared" si="168"/>
        <v>4536.72</v>
      </c>
      <c r="GO134">
        <f t="shared" si="169"/>
        <v>0</v>
      </c>
      <c r="GP134">
        <f t="shared" si="170"/>
        <v>0</v>
      </c>
      <c r="GR134">
        <v>0</v>
      </c>
      <c r="GS134">
        <v>3</v>
      </c>
      <c r="GT134">
        <v>0</v>
      </c>
      <c r="GU134" t="s">
        <v>3</v>
      </c>
      <c r="GV134">
        <f t="shared" si="171"/>
        <v>0</v>
      </c>
      <c r="GW134">
        <v>1</v>
      </c>
      <c r="GX134">
        <f t="shared" si="172"/>
        <v>0</v>
      </c>
      <c r="HA134">
        <v>0</v>
      </c>
      <c r="HB134">
        <v>0</v>
      </c>
      <c r="HC134">
        <f t="shared" si="173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1</v>
      </c>
      <c r="C135">
        <f>ROW(SmtRes!A156)</f>
        <v>156</v>
      </c>
      <c r="D135">
        <f>ROW(EtalonRes!A247)</f>
        <v>247</v>
      </c>
      <c r="E135" t="s">
        <v>3</v>
      </c>
      <c r="F135" t="s">
        <v>241</v>
      </c>
      <c r="G135" t="s">
        <v>339</v>
      </c>
      <c r="H135" t="s">
        <v>28</v>
      </c>
      <c r="I135">
        <f>ROUND(375/100,9)</f>
        <v>3.75</v>
      </c>
      <c r="J135">
        <v>0</v>
      </c>
      <c r="K135">
        <f>ROUND(375/100,9)</f>
        <v>3.75</v>
      </c>
      <c r="O135">
        <f t="shared" si="141"/>
        <v>182609.71</v>
      </c>
      <c r="P135">
        <f t="shared" si="142"/>
        <v>38230.58</v>
      </c>
      <c r="Q135">
        <f>(ROUND((ROUND((((ET135*1.25))*AV135*I135),2)*BB135),2)+ROUND((ROUND(((AE135-((EU135*1.25)))*AV135*I135),2)*BS135),2))</f>
        <v>4514.0600000000004</v>
      </c>
      <c r="R135">
        <f t="shared" si="143"/>
        <v>1337.64</v>
      </c>
      <c r="S135">
        <f t="shared" si="144"/>
        <v>139865.07</v>
      </c>
      <c r="T135">
        <f t="shared" si="145"/>
        <v>0</v>
      </c>
      <c r="U135">
        <f t="shared" si="146"/>
        <v>392.86874999999998</v>
      </c>
      <c r="V135">
        <f t="shared" si="147"/>
        <v>0</v>
      </c>
      <c r="W135">
        <f t="shared" si="148"/>
        <v>0</v>
      </c>
      <c r="X135">
        <f t="shared" si="149"/>
        <v>104898.8</v>
      </c>
      <c r="Y135">
        <f t="shared" si="150"/>
        <v>57344.68</v>
      </c>
      <c r="AA135">
        <v>-1</v>
      </c>
      <c r="AB135">
        <f t="shared" si="151"/>
        <v>3857.1534999999999</v>
      </c>
      <c r="AC135">
        <f t="shared" si="152"/>
        <v>2511.04</v>
      </c>
      <c r="AD135">
        <f>ROUND(((((ET135*1.25))-((EU135*1.25)))+AE135),6)</f>
        <v>107</v>
      </c>
      <c r="AE135">
        <f>ROUND(((EU135*1.25)),6)</f>
        <v>11.85</v>
      </c>
      <c r="AF135">
        <f>ROUND(((EV135*1.15)),6)</f>
        <v>1239.1134999999999</v>
      </c>
      <c r="AG135">
        <f t="shared" si="153"/>
        <v>0</v>
      </c>
      <c r="AH135">
        <f>((EW135*1.15))</f>
        <v>104.76499999999999</v>
      </c>
      <c r="AI135">
        <f>((EX135*1.25))</f>
        <v>0</v>
      </c>
      <c r="AJ135">
        <f t="shared" si="154"/>
        <v>0</v>
      </c>
      <c r="AK135">
        <v>3674.13</v>
      </c>
      <c r="AL135">
        <v>2511.04</v>
      </c>
      <c r="AM135">
        <v>85.6</v>
      </c>
      <c r="AN135">
        <v>9.48</v>
      </c>
      <c r="AO135">
        <v>1077.49</v>
      </c>
      <c r="AP135">
        <v>0</v>
      </c>
      <c r="AQ135">
        <v>91.1</v>
      </c>
      <c r="AR135">
        <v>0</v>
      </c>
      <c r="AS135">
        <v>0</v>
      </c>
      <c r="AT135">
        <v>75</v>
      </c>
      <c r="AU135">
        <v>41</v>
      </c>
      <c r="AV135">
        <v>1</v>
      </c>
      <c r="AW135">
        <v>1</v>
      </c>
      <c r="AZ135">
        <v>1</v>
      </c>
      <c r="BA135">
        <v>30.1</v>
      </c>
      <c r="BB135">
        <v>11.25</v>
      </c>
      <c r="BC135">
        <v>4.0599999999999996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1</v>
      </c>
      <c r="BJ135" t="s">
        <v>243</v>
      </c>
      <c r="BM135">
        <v>1659</v>
      </c>
      <c r="BN135">
        <v>36862081</v>
      </c>
      <c r="BO135" t="s">
        <v>241</v>
      </c>
      <c r="BP135">
        <v>1</v>
      </c>
      <c r="BQ135">
        <v>30</v>
      </c>
      <c r="BR135">
        <v>0</v>
      </c>
      <c r="BS135">
        <v>30.1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75</v>
      </c>
      <c r="CA135">
        <v>41</v>
      </c>
      <c r="CB135" t="s">
        <v>3</v>
      </c>
      <c r="CE135">
        <v>30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55"/>
        <v>182609.71000000002</v>
      </c>
      <c r="CQ135">
        <f t="shared" si="156"/>
        <v>10194.82</v>
      </c>
      <c r="CR135">
        <f>(ROUND((ROUND((((ET135*1.25))*AV135*1),2)*BB135),2)+ROUND((ROUND(((AE135-((EU135*1.25)))*AV135*1),2)*BS135),2))</f>
        <v>1203.75</v>
      </c>
      <c r="CS135">
        <f t="shared" si="157"/>
        <v>356.69</v>
      </c>
      <c r="CT135">
        <f t="shared" si="158"/>
        <v>37297.21</v>
      </c>
      <c r="CU135">
        <f t="shared" si="159"/>
        <v>0</v>
      </c>
      <c r="CV135">
        <f t="shared" si="160"/>
        <v>104.76499999999999</v>
      </c>
      <c r="CW135">
        <f t="shared" si="161"/>
        <v>0</v>
      </c>
      <c r="CX135">
        <f t="shared" si="162"/>
        <v>0</v>
      </c>
      <c r="CY135">
        <f t="shared" si="163"/>
        <v>104898.80250000001</v>
      </c>
      <c r="CZ135">
        <f t="shared" si="164"/>
        <v>57344.678699999997</v>
      </c>
      <c r="DC135" t="s">
        <v>3</v>
      </c>
      <c r="DD135" t="s">
        <v>3</v>
      </c>
      <c r="DE135" t="s">
        <v>51</v>
      </c>
      <c r="DF135" t="s">
        <v>51</v>
      </c>
      <c r="DG135" t="s">
        <v>52</v>
      </c>
      <c r="DH135" t="s">
        <v>3</v>
      </c>
      <c r="DI135" t="s">
        <v>52</v>
      </c>
      <c r="DJ135" t="s">
        <v>51</v>
      </c>
      <c r="DK135" t="s">
        <v>3</v>
      </c>
      <c r="DL135" t="s">
        <v>3</v>
      </c>
      <c r="DM135" t="s">
        <v>3</v>
      </c>
      <c r="DN135">
        <v>91</v>
      </c>
      <c r="DO135">
        <v>70</v>
      </c>
      <c r="DP135">
        <v>1</v>
      </c>
      <c r="DQ135">
        <v>1</v>
      </c>
      <c r="DU135">
        <v>1005</v>
      </c>
      <c r="DV135" t="s">
        <v>28</v>
      </c>
      <c r="DW135" t="s">
        <v>28</v>
      </c>
      <c r="DX135">
        <v>100</v>
      </c>
      <c r="DZ135" t="s">
        <v>3</v>
      </c>
      <c r="EA135" t="s">
        <v>3</v>
      </c>
      <c r="EB135" t="s">
        <v>3</v>
      </c>
      <c r="EC135" t="s">
        <v>3</v>
      </c>
      <c r="EE135">
        <v>53214408</v>
      </c>
      <c r="EF135">
        <v>30</v>
      </c>
      <c r="EG135" t="s">
        <v>37</v>
      </c>
      <c r="EH135">
        <v>0</v>
      </c>
      <c r="EI135" t="s">
        <v>3</v>
      </c>
      <c r="EJ135">
        <v>1</v>
      </c>
      <c r="EK135">
        <v>1659</v>
      </c>
      <c r="EL135" t="s">
        <v>244</v>
      </c>
      <c r="EM135" t="s">
        <v>245</v>
      </c>
      <c r="EO135" t="s">
        <v>3</v>
      </c>
      <c r="EQ135">
        <v>132096</v>
      </c>
      <c r="ER135">
        <v>3674.13</v>
      </c>
      <c r="ES135">
        <v>2511.04</v>
      </c>
      <c r="ET135">
        <v>85.6</v>
      </c>
      <c r="EU135">
        <v>9.48</v>
      </c>
      <c r="EV135">
        <v>1077.49</v>
      </c>
      <c r="EW135">
        <v>91.1</v>
      </c>
      <c r="EX135">
        <v>0</v>
      </c>
      <c r="EY135">
        <v>0</v>
      </c>
      <c r="FQ135">
        <v>0</v>
      </c>
      <c r="FR135">
        <f t="shared" si="165"/>
        <v>0</v>
      </c>
      <c r="FS135">
        <v>0</v>
      </c>
      <c r="FX135">
        <v>91</v>
      </c>
      <c r="FY135">
        <v>70</v>
      </c>
      <c r="GA135" t="s">
        <v>3</v>
      </c>
      <c r="GD135">
        <v>0</v>
      </c>
      <c r="GF135">
        <v>-1561157860</v>
      </c>
      <c r="GG135">
        <v>2</v>
      </c>
      <c r="GH135">
        <v>1</v>
      </c>
      <c r="GI135">
        <v>2</v>
      </c>
      <c r="GJ135">
        <v>0</v>
      </c>
      <c r="GK135">
        <f>ROUND(R135*(R12)/100,2)</f>
        <v>2140.2199999999998</v>
      </c>
      <c r="GL135">
        <f t="shared" si="166"/>
        <v>0</v>
      </c>
      <c r="GM135">
        <f t="shared" si="167"/>
        <v>346993.41</v>
      </c>
      <c r="GN135">
        <f t="shared" si="168"/>
        <v>346993.41</v>
      </c>
      <c r="GO135">
        <f t="shared" si="169"/>
        <v>0</v>
      </c>
      <c r="GP135">
        <f t="shared" si="170"/>
        <v>0</v>
      </c>
      <c r="GR135">
        <v>0</v>
      </c>
      <c r="GS135">
        <v>3</v>
      </c>
      <c r="GT135">
        <v>0</v>
      </c>
      <c r="GU135" t="s">
        <v>3</v>
      </c>
      <c r="GV135">
        <f t="shared" si="171"/>
        <v>0</v>
      </c>
      <c r="GW135">
        <v>1</v>
      </c>
      <c r="GX135">
        <f t="shared" si="172"/>
        <v>0</v>
      </c>
      <c r="HA135">
        <v>0</v>
      </c>
      <c r="HB135">
        <v>0</v>
      </c>
      <c r="HC135">
        <f t="shared" si="173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18</v>
      </c>
      <c r="B136">
        <v>1</v>
      </c>
      <c r="C136">
        <v>146</v>
      </c>
      <c r="E136" t="s">
        <v>3</v>
      </c>
      <c r="F136" t="s">
        <v>123</v>
      </c>
      <c r="G136" t="s">
        <v>124</v>
      </c>
      <c r="H136" t="s">
        <v>125</v>
      </c>
      <c r="I136">
        <f>I135*J136</f>
        <v>435</v>
      </c>
      <c r="J136">
        <v>116</v>
      </c>
      <c r="K136">
        <v>116</v>
      </c>
      <c r="O136">
        <f t="shared" si="141"/>
        <v>2853.77</v>
      </c>
      <c r="P136">
        <f t="shared" si="142"/>
        <v>2853.77</v>
      </c>
      <c r="Q136">
        <f>(ROUND((ROUND(((ET136)*AV136*I136),2)*BB136),2)+ROUND((ROUND(((AE136-(EU136))*AV136*I136),2)*BS136),2))</f>
        <v>0</v>
      </c>
      <c r="R136">
        <f t="shared" si="143"/>
        <v>0</v>
      </c>
      <c r="S136">
        <f t="shared" si="144"/>
        <v>0</v>
      </c>
      <c r="T136">
        <f t="shared" si="145"/>
        <v>0</v>
      </c>
      <c r="U136">
        <f t="shared" si="146"/>
        <v>0</v>
      </c>
      <c r="V136">
        <f t="shared" si="147"/>
        <v>0</v>
      </c>
      <c r="W136">
        <f t="shared" si="148"/>
        <v>0</v>
      </c>
      <c r="X136">
        <f t="shared" si="149"/>
        <v>0</v>
      </c>
      <c r="Y136">
        <f t="shared" si="150"/>
        <v>0</v>
      </c>
      <c r="AA136">
        <v>-1</v>
      </c>
      <c r="AB136">
        <f t="shared" si="151"/>
        <v>0.71</v>
      </c>
      <c r="AC136">
        <f t="shared" si="152"/>
        <v>0.71</v>
      </c>
      <c r="AD136">
        <f>ROUND((((ET136)-(EU136))+AE136),6)</f>
        <v>0</v>
      </c>
      <c r="AE136">
        <f t="shared" ref="AE136:AF139" si="176">ROUND((EU136),6)</f>
        <v>0</v>
      </c>
      <c r="AF136">
        <f t="shared" si="176"/>
        <v>0</v>
      </c>
      <c r="AG136">
        <f t="shared" si="153"/>
        <v>0</v>
      </c>
      <c r="AH136">
        <f t="shared" ref="AH136:AI139" si="177">(EW136)</f>
        <v>0</v>
      </c>
      <c r="AI136">
        <f t="shared" si="177"/>
        <v>0</v>
      </c>
      <c r="AJ136">
        <f t="shared" si="154"/>
        <v>0</v>
      </c>
      <c r="AK136">
        <v>0.71</v>
      </c>
      <c r="AL136">
        <v>0.71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9.24</v>
      </c>
      <c r="BD136" t="s">
        <v>3</v>
      </c>
      <c r="BE136" t="s">
        <v>3</v>
      </c>
      <c r="BF136" t="s">
        <v>3</v>
      </c>
      <c r="BG136" t="s">
        <v>3</v>
      </c>
      <c r="BH136">
        <v>3</v>
      </c>
      <c r="BI136">
        <v>1</v>
      </c>
      <c r="BJ136" t="s">
        <v>126</v>
      </c>
      <c r="BM136">
        <v>1659</v>
      </c>
      <c r="BN136">
        <v>36862081</v>
      </c>
      <c r="BO136" t="s">
        <v>123</v>
      </c>
      <c r="BP136">
        <v>1</v>
      </c>
      <c r="BQ136">
        <v>30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0</v>
      </c>
      <c r="CA136">
        <v>0</v>
      </c>
      <c r="CB136" t="s">
        <v>3</v>
      </c>
      <c r="CE136">
        <v>30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55"/>
        <v>2853.77</v>
      </c>
      <c r="CQ136">
        <f t="shared" si="156"/>
        <v>6.56</v>
      </c>
      <c r="CR136">
        <f>(ROUND((ROUND(((ET136)*AV136*1),2)*BB136),2)+ROUND((ROUND(((AE136-(EU136))*AV136*1),2)*BS136),2))</f>
        <v>0</v>
      </c>
      <c r="CS136">
        <f t="shared" si="157"/>
        <v>0</v>
      </c>
      <c r="CT136">
        <f t="shared" si="158"/>
        <v>0</v>
      </c>
      <c r="CU136">
        <f t="shared" si="159"/>
        <v>0</v>
      </c>
      <c r="CV136">
        <f t="shared" si="160"/>
        <v>0</v>
      </c>
      <c r="CW136">
        <f t="shared" si="161"/>
        <v>0</v>
      </c>
      <c r="CX136">
        <f t="shared" si="162"/>
        <v>0</v>
      </c>
      <c r="CY136">
        <f t="shared" si="163"/>
        <v>0</v>
      </c>
      <c r="CZ136">
        <f t="shared" si="164"/>
        <v>0</v>
      </c>
      <c r="DC136" t="s">
        <v>3</v>
      </c>
      <c r="DD136" t="s">
        <v>3</v>
      </c>
      <c r="DE136" t="s">
        <v>3</v>
      </c>
      <c r="DF136" t="s">
        <v>3</v>
      </c>
      <c r="DG136" t="s">
        <v>3</v>
      </c>
      <c r="DH136" t="s">
        <v>3</v>
      </c>
      <c r="DI136" t="s">
        <v>3</v>
      </c>
      <c r="DJ136" t="s">
        <v>3</v>
      </c>
      <c r="DK136" t="s">
        <v>3</v>
      </c>
      <c r="DL136" t="s">
        <v>3</v>
      </c>
      <c r="DM136" t="s">
        <v>3</v>
      </c>
      <c r="DN136">
        <v>91</v>
      </c>
      <c r="DO136">
        <v>70</v>
      </c>
      <c r="DP136">
        <v>1</v>
      </c>
      <c r="DQ136">
        <v>1</v>
      </c>
      <c r="DU136">
        <v>1003</v>
      </c>
      <c r="DV136" t="s">
        <v>125</v>
      </c>
      <c r="DW136" t="s">
        <v>125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53214408</v>
      </c>
      <c r="EF136">
        <v>30</v>
      </c>
      <c r="EG136" t="s">
        <v>37</v>
      </c>
      <c r="EH136">
        <v>0</v>
      </c>
      <c r="EI136" t="s">
        <v>3</v>
      </c>
      <c r="EJ136">
        <v>1</v>
      </c>
      <c r="EK136">
        <v>1659</v>
      </c>
      <c r="EL136" t="s">
        <v>244</v>
      </c>
      <c r="EM136" t="s">
        <v>245</v>
      </c>
      <c r="EO136" t="s">
        <v>3</v>
      </c>
      <c r="EQ136">
        <v>1024</v>
      </c>
      <c r="ER136">
        <v>0.71</v>
      </c>
      <c r="ES136">
        <v>0.71</v>
      </c>
      <c r="ET136">
        <v>0</v>
      </c>
      <c r="EU136">
        <v>0</v>
      </c>
      <c r="EV136">
        <v>0</v>
      </c>
      <c r="EW136">
        <v>0</v>
      </c>
      <c r="EX136">
        <v>0</v>
      </c>
      <c r="FQ136">
        <v>0</v>
      </c>
      <c r="FR136">
        <f t="shared" si="165"/>
        <v>0</v>
      </c>
      <c r="FS136">
        <v>0</v>
      </c>
      <c r="FX136">
        <v>91</v>
      </c>
      <c r="FY136">
        <v>70</v>
      </c>
      <c r="GA136" t="s">
        <v>3</v>
      </c>
      <c r="GD136">
        <v>0</v>
      </c>
      <c r="GF136">
        <v>-1897368516</v>
      </c>
      <c r="GG136">
        <v>2</v>
      </c>
      <c r="GH136">
        <v>1</v>
      </c>
      <c r="GI136">
        <v>2</v>
      </c>
      <c r="GJ136">
        <v>0</v>
      </c>
      <c r="GK136">
        <f>ROUND(R136*(R12)/100,2)</f>
        <v>0</v>
      </c>
      <c r="GL136">
        <f t="shared" si="166"/>
        <v>0</v>
      </c>
      <c r="GM136">
        <f t="shared" si="167"/>
        <v>2853.77</v>
      </c>
      <c r="GN136">
        <f t="shared" si="168"/>
        <v>2853.77</v>
      </c>
      <c r="GO136">
        <f t="shared" si="169"/>
        <v>0</v>
      </c>
      <c r="GP136">
        <f t="shared" si="170"/>
        <v>0</v>
      </c>
      <c r="GR136">
        <v>0</v>
      </c>
      <c r="GS136">
        <v>3</v>
      </c>
      <c r="GT136">
        <v>0</v>
      </c>
      <c r="GU136" t="s">
        <v>3</v>
      </c>
      <c r="GV136">
        <f t="shared" si="171"/>
        <v>0</v>
      </c>
      <c r="GW136">
        <v>1</v>
      </c>
      <c r="GX136">
        <f t="shared" si="172"/>
        <v>0</v>
      </c>
      <c r="HA136">
        <v>0</v>
      </c>
      <c r="HB136">
        <v>0</v>
      </c>
      <c r="HC136">
        <f t="shared" si="173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18</v>
      </c>
      <c r="B137">
        <v>1</v>
      </c>
      <c r="C137">
        <v>155</v>
      </c>
      <c r="E137" t="s">
        <v>3</v>
      </c>
      <c r="F137" t="s">
        <v>328</v>
      </c>
      <c r="G137" t="s">
        <v>340</v>
      </c>
      <c r="H137" t="s">
        <v>125</v>
      </c>
      <c r="I137">
        <f>I135*J137</f>
        <v>330</v>
      </c>
      <c r="J137">
        <v>88</v>
      </c>
      <c r="K137">
        <v>88</v>
      </c>
      <c r="O137">
        <f t="shared" si="141"/>
        <v>30114.02</v>
      </c>
      <c r="P137">
        <f t="shared" si="142"/>
        <v>30114.02</v>
      </c>
      <c r="Q137">
        <f>(ROUND((ROUND(((ET137)*AV137*I137),2)*BB137),2)+ROUND((ROUND(((AE137-(EU137))*AV137*I137),2)*BS137),2))</f>
        <v>0</v>
      </c>
      <c r="R137">
        <f t="shared" si="143"/>
        <v>0</v>
      </c>
      <c r="S137">
        <f t="shared" si="144"/>
        <v>0</v>
      </c>
      <c r="T137">
        <f t="shared" si="145"/>
        <v>0</v>
      </c>
      <c r="U137">
        <f t="shared" si="146"/>
        <v>0</v>
      </c>
      <c r="V137">
        <f t="shared" si="147"/>
        <v>0</v>
      </c>
      <c r="W137">
        <f t="shared" si="148"/>
        <v>0</v>
      </c>
      <c r="X137">
        <f t="shared" si="149"/>
        <v>0</v>
      </c>
      <c r="Y137">
        <f t="shared" si="150"/>
        <v>0</v>
      </c>
      <c r="AA137">
        <v>-1</v>
      </c>
      <c r="AB137">
        <f t="shared" si="151"/>
        <v>23.58</v>
      </c>
      <c r="AC137">
        <f t="shared" si="152"/>
        <v>23.58</v>
      </c>
      <c r="AD137">
        <f>ROUND((((ET137)-(EU137))+AE137),6)</f>
        <v>0</v>
      </c>
      <c r="AE137">
        <f t="shared" si="176"/>
        <v>0</v>
      </c>
      <c r="AF137">
        <f t="shared" si="176"/>
        <v>0</v>
      </c>
      <c r="AG137">
        <f t="shared" si="153"/>
        <v>0</v>
      </c>
      <c r="AH137">
        <f t="shared" si="177"/>
        <v>0</v>
      </c>
      <c r="AI137">
        <f t="shared" si="177"/>
        <v>0</v>
      </c>
      <c r="AJ137">
        <f t="shared" si="154"/>
        <v>0</v>
      </c>
      <c r="AK137">
        <v>23.58</v>
      </c>
      <c r="AL137">
        <v>23.58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3.87</v>
      </c>
      <c r="BD137" t="s">
        <v>3</v>
      </c>
      <c r="BE137" t="s">
        <v>3</v>
      </c>
      <c r="BF137" t="s">
        <v>3</v>
      </c>
      <c r="BG137" t="s">
        <v>3</v>
      </c>
      <c r="BH137">
        <v>3</v>
      </c>
      <c r="BI137">
        <v>1</v>
      </c>
      <c r="BJ137" t="s">
        <v>330</v>
      </c>
      <c r="BM137">
        <v>1659</v>
      </c>
      <c r="BN137">
        <v>36862081</v>
      </c>
      <c r="BO137" t="s">
        <v>328</v>
      </c>
      <c r="BP137">
        <v>1</v>
      </c>
      <c r="BQ137">
        <v>30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0</v>
      </c>
      <c r="CA137">
        <v>0</v>
      </c>
      <c r="CB137" t="s">
        <v>3</v>
      </c>
      <c r="CE137">
        <v>30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55"/>
        <v>30114.02</v>
      </c>
      <c r="CQ137">
        <f t="shared" si="156"/>
        <v>91.25</v>
      </c>
      <c r="CR137">
        <f>(ROUND((ROUND(((ET137)*AV137*1),2)*BB137),2)+ROUND((ROUND(((AE137-(EU137))*AV137*1),2)*BS137),2))</f>
        <v>0</v>
      </c>
      <c r="CS137">
        <f t="shared" si="157"/>
        <v>0</v>
      </c>
      <c r="CT137">
        <f t="shared" si="158"/>
        <v>0</v>
      </c>
      <c r="CU137">
        <f t="shared" si="159"/>
        <v>0</v>
      </c>
      <c r="CV137">
        <f t="shared" si="160"/>
        <v>0</v>
      </c>
      <c r="CW137">
        <f t="shared" si="161"/>
        <v>0</v>
      </c>
      <c r="CX137">
        <f t="shared" si="162"/>
        <v>0</v>
      </c>
      <c r="CY137">
        <f t="shared" si="163"/>
        <v>0</v>
      </c>
      <c r="CZ137">
        <f t="shared" si="164"/>
        <v>0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91</v>
      </c>
      <c r="DO137">
        <v>70</v>
      </c>
      <c r="DP137">
        <v>1</v>
      </c>
      <c r="DQ137">
        <v>1</v>
      </c>
      <c r="DU137">
        <v>1003</v>
      </c>
      <c r="DV137" t="s">
        <v>125</v>
      </c>
      <c r="DW137" t="s">
        <v>125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53214408</v>
      </c>
      <c r="EF137">
        <v>30</v>
      </c>
      <c r="EG137" t="s">
        <v>37</v>
      </c>
      <c r="EH137">
        <v>0</v>
      </c>
      <c r="EI137" t="s">
        <v>3</v>
      </c>
      <c r="EJ137">
        <v>1</v>
      </c>
      <c r="EK137">
        <v>1659</v>
      </c>
      <c r="EL137" t="s">
        <v>244</v>
      </c>
      <c r="EM137" t="s">
        <v>245</v>
      </c>
      <c r="EO137" t="s">
        <v>3</v>
      </c>
      <c r="EQ137">
        <v>1024</v>
      </c>
      <c r="ER137">
        <v>23.58</v>
      </c>
      <c r="ES137">
        <v>23.58</v>
      </c>
      <c r="ET137">
        <v>0</v>
      </c>
      <c r="EU137">
        <v>0</v>
      </c>
      <c r="EV137">
        <v>0</v>
      </c>
      <c r="EW137">
        <v>0</v>
      </c>
      <c r="EX137">
        <v>0</v>
      </c>
      <c r="FQ137">
        <v>0</v>
      </c>
      <c r="FR137">
        <f t="shared" si="165"/>
        <v>0</v>
      </c>
      <c r="FS137">
        <v>0</v>
      </c>
      <c r="FX137">
        <v>91</v>
      </c>
      <c r="FY137">
        <v>70</v>
      </c>
      <c r="GA137" t="s">
        <v>3</v>
      </c>
      <c r="GD137">
        <v>0</v>
      </c>
      <c r="GF137">
        <v>1145173020</v>
      </c>
      <c r="GG137">
        <v>2</v>
      </c>
      <c r="GH137">
        <v>1</v>
      </c>
      <c r="GI137">
        <v>2</v>
      </c>
      <c r="GJ137">
        <v>0</v>
      </c>
      <c r="GK137">
        <f>ROUND(R137*(R12)/100,2)</f>
        <v>0</v>
      </c>
      <c r="GL137">
        <f t="shared" si="166"/>
        <v>0</v>
      </c>
      <c r="GM137">
        <f t="shared" si="167"/>
        <v>30114.02</v>
      </c>
      <c r="GN137">
        <f t="shared" si="168"/>
        <v>30114.02</v>
      </c>
      <c r="GO137">
        <f t="shared" si="169"/>
        <v>0</v>
      </c>
      <c r="GP137">
        <f t="shared" si="170"/>
        <v>0</v>
      </c>
      <c r="GR137">
        <v>0</v>
      </c>
      <c r="GS137">
        <v>3</v>
      </c>
      <c r="GT137">
        <v>0</v>
      </c>
      <c r="GU137" t="s">
        <v>3</v>
      </c>
      <c r="GV137">
        <f t="shared" si="171"/>
        <v>0</v>
      </c>
      <c r="GW137">
        <v>1</v>
      </c>
      <c r="GX137">
        <f t="shared" si="172"/>
        <v>0</v>
      </c>
      <c r="HA137">
        <v>0</v>
      </c>
      <c r="HB137">
        <v>0</v>
      </c>
      <c r="HC137">
        <f t="shared" si="173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18</v>
      </c>
      <c r="B138">
        <v>1</v>
      </c>
      <c r="C138">
        <v>156</v>
      </c>
      <c r="E138" t="s">
        <v>3</v>
      </c>
      <c r="F138" t="s">
        <v>324</v>
      </c>
      <c r="G138" t="s">
        <v>341</v>
      </c>
      <c r="H138" t="s">
        <v>125</v>
      </c>
      <c r="I138">
        <f>I135*J138</f>
        <v>843.75</v>
      </c>
      <c r="J138">
        <v>225</v>
      </c>
      <c r="K138">
        <v>225</v>
      </c>
      <c r="O138">
        <f t="shared" si="141"/>
        <v>83324.7</v>
      </c>
      <c r="P138">
        <f t="shared" si="142"/>
        <v>83324.7</v>
      </c>
      <c r="Q138">
        <f>(ROUND((ROUND(((ET138)*AV138*I138),2)*BB138),2)+ROUND((ROUND(((AE138-(EU138))*AV138*I138),2)*BS138),2))</f>
        <v>0</v>
      </c>
      <c r="R138">
        <f t="shared" si="143"/>
        <v>0</v>
      </c>
      <c r="S138">
        <f t="shared" si="144"/>
        <v>0</v>
      </c>
      <c r="T138">
        <f t="shared" si="145"/>
        <v>0</v>
      </c>
      <c r="U138">
        <f t="shared" si="146"/>
        <v>0</v>
      </c>
      <c r="V138">
        <f t="shared" si="147"/>
        <v>0</v>
      </c>
      <c r="W138">
        <f t="shared" si="148"/>
        <v>0</v>
      </c>
      <c r="X138">
        <f t="shared" si="149"/>
        <v>0</v>
      </c>
      <c r="Y138">
        <f t="shared" si="150"/>
        <v>0</v>
      </c>
      <c r="AA138">
        <v>-1</v>
      </c>
      <c r="AB138">
        <f t="shared" si="151"/>
        <v>19.440000000000001</v>
      </c>
      <c r="AC138">
        <f t="shared" si="152"/>
        <v>19.440000000000001</v>
      </c>
      <c r="AD138">
        <f>ROUND((((ET138)-(EU138))+AE138),6)</f>
        <v>0</v>
      </c>
      <c r="AE138">
        <f t="shared" si="176"/>
        <v>0</v>
      </c>
      <c r="AF138">
        <f t="shared" si="176"/>
        <v>0</v>
      </c>
      <c r="AG138">
        <f t="shared" si="153"/>
        <v>0</v>
      </c>
      <c r="AH138">
        <f t="shared" si="177"/>
        <v>0</v>
      </c>
      <c r="AI138">
        <f t="shared" si="177"/>
        <v>0</v>
      </c>
      <c r="AJ138">
        <f t="shared" si="154"/>
        <v>0</v>
      </c>
      <c r="AK138">
        <v>19.440000000000001</v>
      </c>
      <c r="AL138">
        <v>19.440000000000001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5.08</v>
      </c>
      <c r="BD138" t="s">
        <v>3</v>
      </c>
      <c r="BE138" t="s">
        <v>3</v>
      </c>
      <c r="BF138" t="s">
        <v>3</v>
      </c>
      <c r="BG138" t="s">
        <v>3</v>
      </c>
      <c r="BH138">
        <v>3</v>
      </c>
      <c r="BI138">
        <v>1</v>
      </c>
      <c r="BJ138" t="s">
        <v>326</v>
      </c>
      <c r="BM138">
        <v>1659</v>
      </c>
      <c r="BN138">
        <v>36862081</v>
      </c>
      <c r="BO138" t="s">
        <v>324</v>
      </c>
      <c r="BP138">
        <v>1</v>
      </c>
      <c r="BQ138">
        <v>30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0</v>
      </c>
      <c r="CA138">
        <v>0</v>
      </c>
      <c r="CB138" t="s">
        <v>3</v>
      </c>
      <c r="CE138">
        <v>30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55"/>
        <v>83324.7</v>
      </c>
      <c r="CQ138">
        <f t="shared" si="156"/>
        <v>98.76</v>
      </c>
      <c r="CR138">
        <f>(ROUND((ROUND(((ET138)*AV138*1),2)*BB138),2)+ROUND((ROUND(((AE138-(EU138))*AV138*1),2)*BS138),2))</f>
        <v>0</v>
      </c>
      <c r="CS138">
        <f t="shared" si="157"/>
        <v>0</v>
      </c>
      <c r="CT138">
        <f t="shared" si="158"/>
        <v>0</v>
      </c>
      <c r="CU138">
        <f t="shared" si="159"/>
        <v>0</v>
      </c>
      <c r="CV138">
        <f t="shared" si="160"/>
        <v>0</v>
      </c>
      <c r="CW138">
        <f t="shared" si="161"/>
        <v>0</v>
      </c>
      <c r="CX138">
        <f t="shared" si="162"/>
        <v>0</v>
      </c>
      <c r="CY138">
        <f t="shared" si="163"/>
        <v>0</v>
      </c>
      <c r="CZ138">
        <f t="shared" si="164"/>
        <v>0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91</v>
      </c>
      <c r="DO138">
        <v>70</v>
      </c>
      <c r="DP138">
        <v>1</v>
      </c>
      <c r="DQ138">
        <v>1</v>
      </c>
      <c r="DU138">
        <v>1003</v>
      </c>
      <c r="DV138" t="s">
        <v>125</v>
      </c>
      <c r="DW138" t="s">
        <v>125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53214408</v>
      </c>
      <c r="EF138">
        <v>30</v>
      </c>
      <c r="EG138" t="s">
        <v>37</v>
      </c>
      <c r="EH138">
        <v>0</v>
      </c>
      <c r="EI138" t="s">
        <v>3</v>
      </c>
      <c r="EJ138">
        <v>1</v>
      </c>
      <c r="EK138">
        <v>1659</v>
      </c>
      <c r="EL138" t="s">
        <v>244</v>
      </c>
      <c r="EM138" t="s">
        <v>245</v>
      </c>
      <c r="EO138" t="s">
        <v>3</v>
      </c>
      <c r="EQ138">
        <v>1024</v>
      </c>
      <c r="ER138">
        <v>19.440000000000001</v>
      </c>
      <c r="ES138">
        <v>19.440000000000001</v>
      </c>
      <c r="ET138">
        <v>0</v>
      </c>
      <c r="EU138">
        <v>0</v>
      </c>
      <c r="EV138">
        <v>0</v>
      </c>
      <c r="EW138">
        <v>0</v>
      </c>
      <c r="EX138">
        <v>0</v>
      </c>
      <c r="FQ138">
        <v>0</v>
      </c>
      <c r="FR138">
        <f t="shared" si="165"/>
        <v>0</v>
      </c>
      <c r="FS138">
        <v>0</v>
      </c>
      <c r="FX138">
        <v>91</v>
      </c>
      <c r="FY138">
        <v>70</v>
      </c>
      <c r="GA138" t="s">
        <v>3</v>
      </c>
      <c r="GD138">
        <v>0</v>
      </c>
      <c r="GF138">
        <v>1789893273</v>
      </c>
      <c r="GG138">
        <v>2</v>
      </c>
      <c r="GH138">
        <v>1</v>
      </c>
      <c r="GI138">
        <v>2</v>
      </c>
      <c r="GJ138">
        <v>0</v>
      </c>
      <c r="GK138">
        <f>ROUND(R138*(R12)/100,2)</f>
        <v>0</v>
      </c>
      <c r="GL138">
        <f t="shared" si="166"/>
        <v>0</v>
      </c>
      <c r="GM138">
        <f t="shared" si="167"/>
        <v>83324.7</v>
      </c>
      <c r="GN138">
        <f t="shared" si="168"/>
        <v>83324.7</v>
      </c>
      <c r="GO138">
        <f t="shared" si="169"/>
        <v>0</v>
      </c>
      <c r="GP138">
        <f t="shared" si="170"/>
        <v>0</v>
      </c>
      <c r="GR138">
        <v>0</v>
      </c>
      <c r="GS138">
        <v>3</v>
      </c>
      <c r="GT138">
        <v>0</v>
      </c>
      <c r="GU138" t="s">
        <v>3</v>
      </c>
      <c r="GV138">
        <f t="shared" si="171"/>
        <v>0</v>
      </c>
      <c r="GW138">
        <v>1</v>
      </c>
      <c r="GX138">
        <f t="shared" si="172"/>
        <v>0</v>
      </c>
      <c r="HA138">
        <v>0</v>
      </c>
      <c r="HB138">
        <v>0</v>
      </c>
      <c r="HC138">
        <f t="shared" si="173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18</v>
      </c>
      <c r="B139">
        <v>1</v>
      </c>
      <c r="C139">
        <v>150</v>
      </c>
      <c r="E139" t="s">
        <v>3</v>
      </c>
      <c r="F139" t="s">
        <v>332</v>
      </c>
      <c r="G139" t="s">
        <v>342</v>
      </c>
      <c r="H139" t="s">
        <v>100</v>
      </c>
      <c r="I139">
        <f>I135*J139</f>
        <v>795</v>
      </c>
      <c r="J139">
        <v>212</v>
      </c>
      <c r="K139">
        <v>212</v>
      </c>
      <c r="O139">
        <f t="shared" si="141"/>
        <v>127100.47</v>
      </c>
      <c r="P139">
        <f t="shared" si="142"/>
        <v>127100.47</v>
      </c>
      <c r="Q139">
        <f>(ROUND((ROUND(((ET139)*AV139*I139),2)*BB139),2)+ROUND((ROUND(((AE139-(EU139))*AV139*I139),2)*BS139),2))</f>
        <v>0</v>
      </c>
      <c r="R139">
        <f t="shared" si="143"/>
        <v>0</v>
      </c>
      <c r="S139">
        <f t="shared" si="144"/>
        <v>0</v>
      </c>
      <c r="T139">
        <f t="shared" si="145"/>
        <v>0</v>
      </c>
      <c r="U139">
        <f t="shared" si="146"/>
        <v>0</v>
      </c>
      <c r="V139">
        <f t="shared" si="147"/>
        <v>0</v>
      </c>
      <c r="W139">
        <f t="shared" si="148"/>
        <v>0</v>
      </c>
      <c r="X139">
        <f t="shared" si="149"/>
        <v>0</v>
      </c>
      <c r="Y139">
        <f t="shared" si="150"/>
        <v>0</v>
      </c>
      <c r="AA139">
        <v>-1</v>
      </c>
      <c r="AB139">
        <f t="shared" si="151"/>
        <v>34.68</v>
      </c>
      <c r="AC139">
        <f t="shared" si="152"/>
        <v>34.68</v>
      </c>
      <c r="AD139">
        <f>ROUND((((ET139)-(EU139))+AE139),6)</f>
        <v>0</v>
      </c>
      <c r="AE139">
        <f t="shared" si="176"/>
        <v>0</v>
      </c>
      <c r="AF139">
        <f t="shared" si="176"/>
        <v>0</v>
      </c>
      <c r="AG139">
        <f t="shared" si="153"/>
        <v>0</v>
      </c>
      <c r="AH139">
        <f t="shared" si="177"/>
        <v>0</v>
      </c>
      <c r="AI139">
        <f t="shared" si="177"/>
        <v>0</v>
      </c>
      <c r="AJ139">
        <f t="shared" si="154"/>
        <v>0</v>
      </c>
      <c r="AK139">
        <v>34.68</v>
      </c>
      <c r="AL139">
        <v>34.68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4.6100000000000003</v>
      </c>
      <c r="BD139" t="s">
        <v>3</v>
      </c>
      <c r="BE139" t="s">
        <v>3</v>
      </c>
      <c r="BF139" t="s">
        <v>3</v>
      </c>
      <c r="BG139" t="s">
        <v>3</v>
      </c>
      <c r="BH139">
        <v>3</v>
      </c>
      <c r="BI139">
        <v>1</v>
      </c>
      <c r="BJ139" t="s">
        <v>334</v>
      </c>
      <c r="BM139">
        <v>1659</v>
      </c>
      <c r="BN139">
        <v>36862081</v>
      </c>
      <c r="BO139" t="s">
        <v>332</v>
      </c>
      <c r="BP139">
        <v>1</v>
      </c>
      <c r="BQ139">
        <v>30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0</v>
      </c>
      <c r="CA139">
        <v>0</v>
      </c>
      <c r="CB139" t="s">
        <v>3</v>
      </c>
      <c r="CE139">
        <v>30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55"/>
        <v>127100.47</v>
      </c>
      <c r="CQ139">
        <f t="shared" si="156"/>
        <v>159.87</v>
      </c>
      <c r="CR139">
        <f>(ROUND((ROUND(((ET139)*AV139*1),2)*BB139),2)+ROUND((ROUND(((AE139-(EU139))*AV139*1),2)*BS139),2))</f>
        <v>0</v>
      </c>
      <c r="CS139">
        <f t="shared" si="157"/>
        <v>0</v>
      </c>
      <c r="CT139">
        <f t="shared" si="158"/>
        <v>0</v>
      </c>
      <c r="CU139">
        <f t="shared" si="159"/>
        <v>0</v>
      </c>
      <c r="CV139">
        <f t="shared" si="160"/>
        <v>0</v>
      </c>
      <c r="CW139">
        <f t="shared" si="161"/>
        <v>0</v>
      </c>
      <c r="CX139">
        <f t="shared" si="162"/>
        <v>0</v>
      </c>
      <c r="CY139">
        <f t="shared" si="163"/>
        <v>0</v>
      </c>
      <c r="CZ139">
        <f t="shared" si="164"/>
        <v>0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91</v>
      </c>
      <c r="DO139">
        <v>70</v>
      </c>
      <c r="DP139">
        <v>1</v>
      </c>
      <c r="DQ139">
        <v>1</v>
      </c>
      <c r="DU139">
        <v>1005</v>
      </c>
      <c r="DV139" t="s">
        <v>100</v>
      </c>
      <c r="DW139" t="s">
        <v>100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53214408</v>
      </c>
      <c r="EF139">
        <v>30</v>
      </c>
      <c r="EG139" t="s">
        <v>37</v>
      </c>
      <c r="EH139">
        <v>0</v>
      </c>
      <c r="EI139" t="s">
        <v>3</v>
      </c>
      <c r="EJ139">
        <v>1</v>
      </c>
      <c r="EK139">
        <v>1659</v>
      </c>
      <c r="EL139" t="s">
        <v>244</v>
      </c>
      <c r="EM139" t="s">
        <v>245</v>
      </c>
      <c r="EO139" t="s">
        <v>3</v>
      </c>
      <c r="EQ139">
        <v>1024</v>
      </c>
      <c r="ER139">
        <v>34.68</v>
      </c>
      <c r="ES139">
        <v>34.68</v>
      </c>
      <c r="ET139">
        <v>0</v>
      </c>
      <c r="EU139">
        <v>0</v>
      </c>
      <c r="EV139">
        <v>0</v>
      </c>
      <c r="EW139">
        <v>0</v>
      </c>
      <c r="EX139">
        <v>0</v>
      </c>
      <c r="FQ139">
        <v>0</v>
      </c>
      <c r="FR139">
        <f t="shared" si="165"/>
        <v>0</v>
      </c>
      <c r="FS139">
        <v>0</v>
      </c>
      <c r="FX139">
        <v>91</v>
      </c>
      <c r="FY139">
        <v>70</v>
      </c>
      <c r="GA139" t="s">
        <v>3</v>
      </c>
      <c r="GD139">
        <v>0</v>
      </c>
      <c r="GF139">
        <v>398521588</v>
      </c>
      <c r="GG139">
        <v>2</v>
      </c>
      <c r="GH139">
        <v>1</v>
      </c>
      <c r="GI139">
        <v>2</v>
      </c>
      <c r="GJ139">
        <v>0</v>
      </c>
      <c r="GK139">
        <f>ROUND(R139*(R12)/100,2)</f>
        <v>0</v>
      </c>
      <c r="GL139">
        <f t="shared" si="166"/>
        <v>0</v>
      </c>
      <c r="GM139">
        <f t="shared" si="167"/>
        <v>127100.47</v>
      </c>
      <c r="GN139">
        <f t="shared" si="168"/>
        <v>127100.47</v>
      </c>
      <c r="GO139">
        <f t="shared" si="169"/>
        <v>0</v>
      </c>
      <c r="GP139">
        <f t="shared" si="170"/>
        <v>0</v>
      </c>
      <c r="GR139">
        <v>0</v>
      </c>
      <c r="GS139">
        <v>3</v>
      </c>
      <c r="GT139">
        <v>0</v>
      </c>
      <c r="GU139" t="s">
        <v>3</v>
      </c>
      <c r="GV139">
        <f t="shared" si="171"/>
        <v>0</v>
      </c>
      <c r="GW139">
        <v>1</v>
      </c>
      <c r="GX139">
        <f t="shared" si="172"/>
        <v>0</v>
      </c>
      <c r="HA139">
        <v>0</v>
      </c>
      <c r="HB139">
        <v>0</v>
      </c>
      <c r="HC139">
        <f t="shared" si="173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1</v>
      </c>
      <c r="C140">
        <f>ROW(SmtRes!A161)</f>
        <v>161</v>
      </c>
      <c r="D140">
        <f>ROW(EtalonRes!A252)</f>
        <v>252</v>
      </c>
      <c r="E140" t="s">
        <v>3</v>
      </c>
      <c r="F140" t="s">
        <v>343</v>
      </c>
      <c r="G140" t="s">
        <v>344</v>
      </c>
      <c r="H140" t="s">
        <v>345</v>
      </c>
      <c r="I140">
        <f>ROUND(375*0.05,9)</f>
        <v>18.75</v>
      </c>
      <c r="J140">
        <v>0</v>
      </c>
      <c r="K140">
        <f>ROUND(375*0.05,9)</f>
        <v>18.75</v>
      </c>
      <c r="O140">
        <f t="shared" si="141"/>
        <v>101284.99</v>
      </c>
      <c r="P140">
        <f t="shared" si="142"/>
        <v>0</v>
      </c>
      <c r="Q140">
        <f>(ROUND((ROUND((((ET140*1.25))*AV140*I140),2)*BB140),2)+ROUND((ROUND(((AE140-((EU140*1.25)))*AV140*I140),2)*BS140),2))</f>
        <v>13393.29</v>
      </c>
      <c r="R140">
        <f t="shared" si="143"/>
        <v>4902.99</v>
      </c>
      <c r="S140">
        <f t="shared" si="144"/>
        <v>87891.7</v>
      </c>
      <c r="T140">
        <f t="shared" si="145"/>
        <v>0</v>
      </c>
      <c r="U140">
        <f t="shared" si="146"/>
        <v>228.13124999999999</v>
      </c>
      <c r="V140">
        <f t="shared" si="147"/>
        <v>0</v>
      </c>
      <c r="W140">
        <f t="shared" si="148"/>
        <v>0</v>
      </c>
      <c r="X140">
        <f t="shared" si="149"/>
        <v>65918.78</v>
      </c>
      <c r="Y140">
        <f t="shared" si="150"/>
        <v>36035.599999999999</v>
      </c>
      <c r="AA140">
        <v>-1</v>
      </c>
      <c r="AB140">
        <f t="shared" si="151"/>
        <v>215.458</v>
      </c>
      <c r="AC140">
        <f t="shared" si="152"/>
        <v>0</v>
      </c>
      <c r="AD140">
        <f>ROUND(((((ET140*1.25))-((EU140*1.25)))+AE140),6)</f>
        <v>59.725000000000001</v>
      </c>
      <c r="AE140">
        <f>ROUND(((EU140*1.25)),6)</f>
        <v>8.6875</v>
      </c>
      <c r="AF140">
        <f>ROUND(((EV140*1.15)),6)</f>
        <v>155.733</v>
      </c>
      <c r="AG140">
        <f t="shared" si="153"/>
        <v>0</v>
      </c>
      <c r="AH140">
        <f>((EW140*1.15))</f>
        <v>12.167</v>
      </c>
      <c r="AI140">
        <f>((EX140*1.25))</f>
        <v>0</v>
      </c>
      <c r="AJ140">
        <f t="shared" si="154"/>
        <v>0</v>
      </c>
      <c r="AK140">
        <v>183.2</v>
      </c>
      <c r="AL140">
        <v>0</v>
      </c>
      <c r="AM140">
        <v>47.78</v>
      </c>
      <c r="AN140">
        <v>6.95</v>
      </c>
      <c r="AO140">
        <v>135.41999999999999</v>
      </c>
      <c r="AP140">
        <v>0</v>
      </c>
      <c r="AQ140">
        <v>10.58</v>
      </c>
      <c r="AR140">
        <v>0</v>
      </c>
      <c r="AS140">
        <v>0</v>
      </c>
      <c r="AT140">
        <v>75</v>
      </c>
      <c r="AU140">
        <v>41</v>
      </c>
      <c r="AV140">
        <v>1</v>
      </c>
      <c r="AW140">
        <v>1</v>
      </c>
      <c r="AZ140">
        <v>1</v>
      </c>
      <c r="BA140">
        <v>30.1</v>
      </c>
      <c r="BB140">
        <v>11.96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1</v>
      </c>
      <c r="BJ140" t="s">
        <v>346</v>
      </c>
      <c r="BM140">
        <v>143</v>
      </c>
      <c r="BN140">
        <v>36862081</v>
      </c>
      <c r="BO140" t="s">
        <v>343</v>
      </c>
      <c r="BP140">
        <v>1</v>
      </c>
      <c r="BQ140">
        <v>30</v>
      </c>
      <c r="BR140">
        <v>0</v>
      </c>
      <c r="BS140">
        <v>30.1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75</v>
      </c>
      <c r="CA140">
        <v>41</v>
      </c>
      <c r="CB140" t="s">
        <v>3</v>
      </c>
      <c r="CE140">
        <v>30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55"/>
        <v>101284.98999999999</v>
      </c>
      <c r="CQ140">
        <f t="shared" si="156"/>
        <v>0</v>
      </c>
      <c r="CR140">
        <f>(ROUND((ROUND((((ET140*1.25))*AV140*1),2)*BB140),2)+ROUND((ROUND(((AE140-((EU140*1.25)))*AV140*1),2)*BS140),2))</f>
        <v>714.37</v>
      </c>
      <c r="CS140">
        <f t="shared" si="157"/>
        <v>261.57</v>
      </c>
      <c r="CT140">
        <f t="shared" si="158"/>
        <v>4687.47</v>
      </c>
      <c r="CU140">
        <f t="shared" si="159"/>
        <v>0</v>
      </c>
      <c r="CV140">
        <f t="shared" si="160"/>
        <v>12.167</v>
      </c>
      <c r="CW140">
        <f t="shared" si="161"/>
        <v>0</v>
      </c>
      <c r="CX140">
        <f t="shared" si="162"/>
        <v>0</v>
      </c>
      <c r="CY140">
        <f t="shared" si="163"/>
        <v>65918.774999999994</v>
      </c>
      <c r="CZ140">
        <f t="shared" si="164"/>
        <v>36035.596999999994</v>
      </c>
      <c r="DC140" t="s">
        <v>3</v>
      </c>
      <c r="DD140" t="s">
        <v>3</v>
      </c>
      <c r="DE140" t="s">
        <v>51</v>
      </c>
      <c r="DF140" t="s">
        <v>51</v>
      </c>
      <c r="DG140" t="s">
        <v>52</v>
      </c>
      <c r="DH140" t="s">
        <v>3</v>
      </c>
      <c r="DI140" t="s">
        <v>52</v>
      </c>
      <c r="DJ140" t="s">
        <v>51</v>
      </c>
      <c r="DK140" t="s">
        <v>3</v>
      </c>
      <c r="DL140" t="s">
        <v>3</v>
      </c>
      <c r="DM140" t="s">
        <v>3</v>
      </c>
      <c r="DN140">
        <v>91</v>
      </c>
      <c r="DO140">
        <v>70</v>
      </c>
      <c r="DP140">
        <v>1</v>
      </c>
      <c r="DQ140">
        <v>1</v>
      </c>
      <c r="DU140">
        <v>1013</v>
      </c>
      <c r="DV140" t="s">
        <v>345</v>
      </c>
      <c r="DW140" t="s">
        <v>345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53212892</v>
      </c>
      <c r="EF140">
        <v>30</v>
      </c>
      <c r="EG140" t="s">
        <v>37</v>
      </c>
      <c r="EH140">
        <v>0</v>
      </c>
      <c r="EI140" t="s">
        <v>3</v>
      </c>
      <c r="EJ140">
        <v>1</v>
      </c>
      <c r="EK140">
        <v>143</v>
      </c>
      <c r="EL140" t="s">
        <v>347</v>
      </c>
      <c r="EM140" t="s">
        <v>348</v>
      </c>
      <c r="EO140" t="s">
        <v>3</v>
      </c>
      <c r="EQ140">
        <v>1024</v>
      </c>
      <c r="ER140">
        <v>183.2</v>
      </c>
      <c r="ES140">
        <v>0</v>
      </c>
      <c r="ET140">
        <v>47.78</v>
      </c>
      <c r="EU140">
        <v>6.95</v>
      </c>
      <c r="EV140">
        <v>135.41999999999999</v>
      </c>
      <c r="EW140">
        <v>10.58</v>
      </c>
      <c r="EX140">
        <v>0</v>
      </c>
      <c r="EY140">
        <v>0</v>
      </c>
      <c r="FQ140">
        <v>0</v>
      </c>
      <c r="FR140">
        <f t="shared" si="165"/>
        <v>0</v>
      </c>
      <c r="FS140">
        <v>0</v>
      </c>
      <c r="FX140">
        <v>91</v>
      </c>
      <c r="FY140">
        <v>70</v>
      </c>
      <c r="GA140" t="s">
        <v>3</v>
      </c>
      <c r="GD140">
        <v>0</v>
      </c>
      <c r="GF140">
        <v>710720285</v>
      </c>
      <c r="GG140">
        <v>2</v>
      </c>
      <c r="GH140">
        <v>1</v>
      </c>
      <c r="GI140">
        <v>2</v>
      </c>
      <c r="GJ140">
        <v>0</v>
      </c>
      <c r="GK140">
        <f>ROUND(R140*(R12)/100,2)</f>
        <v>7844.78</v>
      </c>
      <c r="GL140">
        <f t="shared" si="166"/>
        <v>0</v>
      </c>
      <c r="GM140">
        <f t="shared" si="167"/>
        <v>211084.15</v>
      </c>
      <c r="GN140">
        <f t="shared" si="168"/>
        <v>211084.15</v>
      </c>
      <c r="GO140">
        <f t="shared" si="169"/>
        <v>0</v>
      </c>
      <c r="GP140">
        <f t="shared" si="170"/>
        <v>0</v>
      </c>
      <c r="GR140">
        <v>0</v>
      </c>
      <c r="GS140">
        <v>3</v>
      </c>
      <c r="GT140">
        <v>0</v>
      </c>
      <c r="GU140" t="s">
        <v>3</v>
      </c>
      <c r="GV140">
        <f t="shared" si="171"/>
        <v>0</v>
      </c>
      <c r="GW140">
        <v>1</v>
      </c>
      <c r="GX140">
        <f t="shared" si="172"/>
        <v>0</v>
      </c>
      <c r="HA140">
        <v>0</v>
      </c>
      <c r="HB140">
        <v>0</v>
      </c>
      <c r="HC140">
        <f t="shared" si="173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18</v>
      </c>
      <c r="B141">
        <v>1</v>
      </c>
      <c r="C141">
        <v>161</v>
      </c>
      <c r="E141" t="s">
        <v>3</v>
      </c>
      <c r="F141" t="s">
        <v>336</v>
      </c>
      <c r="G141" t="s">
        <v>337</v>
      </c>
      <c r="H141" t="s">
        <v>70</v>
      </c>
      <c r="I141">
        <f>I140*J141</f>
        <v>19.125</v>
      </c>
      <c r="J141">
        <v>1.02</v>
      </c>
      <c r="K141">
        <v>1.02</v>
      </c>
      <c r="O141">
        <f t="shared" si="141"/>
        <v>102075.72</v>
      </c>
      <c r="P141">
        <f t="shared" si="142"/>
        <v>102075.72</v>
      </c>
      <c r="Q141">
        <f>(ROUND((ROUND(((ET141)*AV141*I141),2)*BB141),2)+ROUND((ROUND(((AE141-(EU141))*AV141*I141),2)*BS141),2))</f>
        <v>0</v>
      </c>
      <c r="R141">
        <f t="shared" si="143"/>
        <v>0</v>
      </c>
      <c r="S141">
        <f t="shared" si="144"/>
        <v>0</v>
      </c>
      <c r="T141">
        <f t="shared" si="145"/>
        <v>0</v>
      </c>
      <c r="U141">
        <f t="shared" si="146"/>
        <v>0</v>
      </c>
      <c r="V141">
        <f t="shared" si="147"/>
        <v>0</v>
      </c>
      <c r="W141">
        <f t="shared" si="148"/>
        <v>0</v>
      </c>
      <c r="X141">
        <f t="shared" si="149"/>
        <v>0</v>
      </c>
      <c r="Y141">
        <f t="shared" si="150"/>
        <v>0</v>
      </c>
      <c r="AA141">
        <v>-1</v>
      </c>
      <c r="AB141">
        <f t="shared" si="151"/>
        <v>609.28</v>
      </c>
      <c r="AC141">
        <f t="shared" si="152"/>
        <v>609.28</v>
      </c>
      <c r="AD141">
        <f>ROUND((((ET141)-(EU141))+AE141),6)</f>
        <v>0</v>
      </c>
      <c r="AE141">
        <f>ROUND((EU141),6)</f>
        <v>0</v>
      </c>
      <c r="AF141">
        <f>ROUND((EV141),6)</f>
        <v>0</v>
      </c>
      <c r="AG141">
        <f t="shared" si="153"/>
        <v>0</v>
      </c>
      <c r="AH141">
        <f>(EW141)</f>
        <v>0</v>
      </c>
      <c r="AI141">
        <f>(EX141)</f>
        <v>0</v>
      </c>
      <c r="AJ141">
        <f t="shared" si="154"/>
        <v>0</v>
      </c>
      <c r="AK141">
        <v>609.28</v>
      </c>
      <c r="AL141">
        <v>609.28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8.76</v>
      </c>
      <c r="BD141" t="s">
        <v>3</v>
      </c>
      <c r="BE141" t="s">
        <v>3</v>
      </c>
      <c r="BF141" t="s">
        <v>3</v>
      </c>
      <c r="BG141" t="s">
        <v>3</v>
      </c>
      <c r="BH141">
        <v>3</v>
      </c>
      <c r="BI141">
        <v>1</v>
      </c>
      <c r="BJ141" t="s">
        <v>338</v>
      </c>
      <c r="BM141">
        <v>143</v>
      </c>
      <c r="BN141">
        <v>36862081</v>
      </c>
      <c r="BO141" t="s">
        <v>336</v>
      </c>
      <c r="BP141">
        <v>1</v>
      </c>
      <c r="BQ141">
        <v>30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0</v>
      </c>
      <c r="CA141">
        <v>0</v>
      </c>
      <c r="CB141" t="s">
        <v>3</v>
      </c>
      <c r="CE141">
        <v>30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55"/>
        <v>102075.72</v>
      </c>
      <c r="CQ141">
        <f t="shared" si="156"/>
        <v>5337.29</v>
      </c>
      <c r="CR141">
        <f>(ROUND((ROUND(((ET141)*AV141*1),2)*BB141),2)+ROUND((ROUND(((AE141-(EU141))*AV141*1),2)*BS141),2))</f>
        <v>0</v>
      </c>
      <c r="CS141">
        <f t="shared" si="157"/>
        <v>0</v>
      </c>
      <c r="CT141">
        <f t="shared" si="158"/>
        <v>0</v>
      </c>
      <c r="CU141">
        <f t="shared" si="159"/>
        <v>0</v>
      </c>
      <c r="CV141">
        <f t="shared" si="160"/>
        <v>0</v>
      </c>
      <c r="CW141">
        <f t="shared" si="161"/>
        <v>0</v>
      </c>
      <c r="CX141">
        <f t="shared" si="162"/>
        <v>0</v>
      </c>
      <c r="CY141">
        <f t="shared" si="163"/>
        <v>0</v>
      </c>
      <c r="CZ141">
        <f t="shared" si="164"/>
        <v>0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91</v>
      </c>
      <c r="DO141">
        <v>70</v>
      </c>
      <c r="DP141">
        <v>1</v>
      </c>
      <c r="DQ141">
        <v>1</v>
      </c>
      <c r="DU141">
        <v>1007</v>
      </c>
      <c r="DV141" t="s">
        <v>70</v>
      </c>
      <c r="DW141" t="s">
        <v>70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53212892</v>
      </c>
      <c r="EF141">
        <v>30</v>
      </c>
      <c r="EG141" t="s">
        <v>37</v>
      </c>
      <c r="EH141">
        <v>0</v>
      </c>
      <c r="EI141" t="s">
        <v>3</v>
      </c>
      <c r="EJ141">
        <v>1</v>
      </c>
      <c r="EK141">
        <v>143</v>
      </c>
      <c r="EL141" t="s">
        <v>347</v>
      </c>
      <c r="EM141" t="s">
        <v>348</v>
      </c>
      <c r="EO141" t="s">
        <v>3</v>
      </c>
      <c r="EQ141">
        <v>1024</v>
      </c>
      <c r="ER141">
        <v>609.28</v>
      </c>
      <c r="ES141">
        <v>609.28</v>
      </c>
      <c r="ET141">
        <v>0</v>
      </c>
      <c r="EU141">
        <v>0</v>
      </c>
      <c r="EV141">
        <v>0</v>
      </c>
      <c r="EW141">
        <v>0</v>
      </c>
      <c r="EX141">
        <v>0</v>
      </c>
      <c r="FQ141">
        <v>0</v>
      </c>
      <c r="FR141">
        <f t="shared" si="165"/>
        <v>0</v>
      </c>
      <c r="FS141">
        <v>0</v>
      </c>
      <c r="FX141">
        <v>91</v>
      </c>
      <c r="FY141">
        <v>70</v>
      </c>
      <c r="GA141" t="s">
        <v>3</v>
      </c>
      <c r="GD141">
        <v>0</v>
      </c>
      <c r="GF141">
        <v>724318371</v>
      </c>
      <c r="GG141">
        <v>2</v>
      </c>
      <c r="GH141">
        <v>1</v>
      </c>
      <c r="GI141">
        <v>2</v>
      </c>
      <c r="GJ141">
        <v>0</v>
      </c>
      <c r="GK141">
        <f>ROUND(R141*(R12)/100,2)</f>
        <v>0</v>
      </c>
      <c r="GL141">
        <f t="shared" si="166"/>
        <v>0</v>
      </c>
      <c r="GM141">
        <f t="shared" si="167"/>
        <v>102075.72</v>
      </c>
      <c r="GN141">
        <f t="shared" si="168"/>
        <v>102075.72</v>
      </c>
      <c r="GO141">
        <f t="shared" si="169"/>
        <v>0</v>
      </c>
      <c r="GP141">
        <f t="shared" si="170"/>
        <v>0</v>
      </c>
      <c r="GR141">
        <v>0</v>
      </c>
      <c r="GS141">
        <v>3</v>
      </c>
      <c r="GT141">
        <v>0</v>
      </c>
      <c r="GU141" t="s">
        <v>3</v>
      </c>
      <c r="GV141">
        <f t="shared" si="171"/>
        <v>0</v>
      </c>
      <c r="GW141">
        <v>1</v>
      </c>
      <c r="GX141">
        <f t="shared" si="172"/>
        <v>0</v>
      </c>
      <c r="HA141">
        <v>0</v>
      </c>
      <c r="HB141">
        <v>0</v>
      </c>
      <c r="HC141">
        <f t="shared" si="173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IK141">
        <v>0</v>
      </c>
    </row>
    <row r="142" spans="1:245" x14ac:dyDescent="0.2">
      <c r="A142">
        <v>17</v>
      </c>
      <c r="B142">
        <v>1</v>
      </c>
      <c r="C142">
        <f>ROW(SmtRes!A162)</f>
        <v>162</v>
      </c>
      <c r="D142">
        <f>ROW(EtalonRes!A257)</f>
        <v>257</v>
      </c>
      <c r="E142" t="s">
        <v>349</v>
      </c>
      <c r="F142" t="s">
        <v>350</v>
      </c>
      <c r="G142" t="s">
        <v>351</v>
      </c>
      <c r="H142" t="s">
        <v>136</v>
      </c>
      <c r="I142">
        <f>ROUND(34/100,9)</f>
        <v>0.34</v>
      </c>
      <c r="J142">
        <v>0</v>
      </c>
      <c r="K142">
        <f>ROUND(34/100,9)</f>
        <v>0.34</v>
      </c>
      <c r="O142">
        <f t="shared" si="141"/>
        <v>1640.39</v>
      </c>
      <c r="P142">
        <f t="shared" si="142"/>
        <v>25.34</v>
      </c>
      <c r="Q142">
        <f>(ROUND((ROUND((((ET142*1.25))*AV142*I142),2)*BB142),2)+ROUND((ROUND(((AE142-((EU142*1.25)))*AV142*I142),2)*BS142),2))</f>
        <v>12.83</v>
      </c>
      <c r="R142">
        <f t="shared" si="143"/>
        <v>4.82</v>
      </c>
      <c r="S142">
        <f t="shared" si="144"/>
        <v>1602.22</v>
      </c>
      <c r="T142">
        <f t="shared" si="145"/>
        <v>0</v>
      </c>
      <c r="U142">
        <f t="shared" si="146"/>
        <v>4.2619000000000007</v>
      </c>
      <c r="V142">
        <f t="shared" si="147"/>
        <v>0</v>
      </c>
      <c r="W142">
        <f t="shared" si="148"/>
        <v>0</v>
      </c>
      <c r="X142">
        <f t="shared" si="149"/>
        <v>1329.84</v>
      </c>
      <c r="Y142">
        <f t="shared" si="150"/>
        <v>656.91</v>
      </c>
      <c r="AA142">
        <v>53860087</v>
      </c>
      <c r="AB142">
        <f t="shared" si="151"/>
        <v>205.67349999999999</v>
      </c>
      <c r="AC142">
        <f t="shared" si="152"/>
        <v>46</v>
      </c>
      <c r="AD142">
        <f>ROUND(((((ET142*1.25))-((EU142*1.25)))+AE142),6)</f>
        <v>3.1124999999999998</v>
      </c>
      <c r="AE142">
        <f>ROUND(((EU142*1.25)),6)</f>
        <v>0.47499999999999998</v>
      </c>
      <c r="AF142">
        <f>ROUND(((EV142*1.15)),6)</f>
        <v>156.56100000000001</v>
      </c>
      <c r="AG142">
        <f t="shared" si="153"/>
        <v>0</v>
      </c>
      <c r="AH142">
        <f>((EW142*1.15))</f>
        <v>12.535</v>
      </c>
      <c r="AI142">
        <f>((EX142*1.25))</f>
        <v>0</v>
      </c>
      <c r="AJ142">
        <f t="shared" si="154"/>
        <v>0</v>
      </c>
      <c r="AK142">
        <v>184.63</v>
      </c>
      <c r="AL142">
        <v>46</v>
      </c>
      <c r="AM142">
        <v>2.4900000000000002</v>
      </c>
      <c r="AN142">
        <v>0.38</v>
      </c>
      <c r="AO142">
        <v>136.13999999999999</v>
      </c>
      <c r="AP142">
        <v>0</v>
      </c>
      <c r="AQ142">
        <v>10.9</v>
      </c>
      <c r="AR142">
        <v>0</v>
      </c>
      <c r="AS142">
        <v>0</v>
      </c>
      <c r="AT142">
        <v>83</v>
      </c>
      <c r="AU142">
        <v>41</v>
      </c>
      <c r="AV142">
        <v>1</v>
      </c>
      <c r="AW142">
        <v>1</v>
      </c>
      <c r="AZ142">
        <v>1</v>
      </c>
      <c r="BA142">
        <v>30.1</v>
      </c>
      <c r="BB142">
        <v>12.1</v>
      </c>
      <c r="BC142">
        <v>1.62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1</v>
      </c>
      <c r="BJ142" t="s">
        <v>352</v>
      </c>
      <c r="BM142">
        <v>117</v>
      </c>
      <c r="BN142">
        <v>36862081</v>
      </c>
      <c r="BO142" t="s">
        <v>350</v>
      </c>
      <c r="BP142">
        <v>1</v>
      </c>
      <c r="BQ142">
        <v>30</v>
      </c>
      <c r="BR142">
        <v>0</v>
      </c>
      <c r="BS142">
        <v>30.1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83</v>
      </c>
      <c r="CA142">
        <v>41</v>
      </c>
      <c r="CB142" t="s">
        <v>3</v>
      </c>
      <c r="CE142">
        <v>30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55"/>
        <v>1640.39</v>
      </c>
      <c r="CQ142">
        <f t="shared" si="156"/>
        <v>74.52</v>
      </c>
      <c r="CR142">
        <f>(ROUND((ROUND((((ET142*1.25))*AV142*1),2)*BB142),2)+ROUND((ROUND(((AE142-((EU142*1.25)))*AV142*1),2)*BS142),2))</f>
        <v>37.630000000000003</v>
      </c>
      <c r="CS142">
        <f t="shared" si="157"/>
        <v>14.45</v>
      </c>
      <c r="CT142">
        <f t="shared" si="158"/>
        <v>4712.46</v>
      </c>
      <c r="CU142">
        <f t="shared" si="159"/>
        <v>0</v>
      </c>
      <c r="CV142">
        <f t="shared" si="160"/>
        <v>12.535</v>
      </c>
      <c r="CW142">
        <f t="shared" si="161"/>
        <v>0</v>
      </c>
      <c r="CX142">
        <f t="shared" si="162"/>
        <v>0</v>
      </c>
      <c r="CY142">
        <f t="shared" si="163"/>
        <v>1329.8425999999999</v>
      </c>
      <c r="CZ142">
        <f t="shared" si="164"/>
        <v>656.91019999999992</v>
      </c>
      <c r="DC142" t="s">
        <v>3</v>
      </c>
      <c r="DD142" t="s">
        <v>3</v>
      </c>
      <c r="DE142" t="s">
        <v>51</v>
      </c>
      <c r="DF142" t="s">
        <v>51</v>
      </c>
      <c r="DG142" t="s">
        <v>52</v>
      </c>
      <c r="DH142" t="s">
        <v>3</v>
      </c>
      <c r="DI142" t="s">
        <v>52</v>
      </c>
      <c r="DJ142" t="s">
        <v>51</v>
      </c>
      <c r="DK142" t="s">
        <v>3</v>
      </c>
      <c r="DL142" t="s">
        <v>3</v>
      </c>
      <c r="DM142" t="s">
        <v>3</v>
      </c>
      <c r="DN142">
        <v>100</v>
      </c>
      <c r="DO142">
        <v>64</v>
      </c>
      <c r="DP142">
        <v>1</v>
      </c>
      <c r="DQ142">
        <v>1</v>
      </c>
      <c r="DU142">
        <v>1005</v>
      </c>
      <c r="DV142" t="s">
        <v>136</v>
      </c>
      <c r="DW142" t="s">
        <v>136</v>
      </c>
      <c r="DX142">
        <v>100</v>
      </c>
      <c r="DZ142" t="s">
        <v>3</v>
      </c>
      <c r="EA142" t="s">
        <v>3</v>
      </c>
      <c r="EB142" t="s">
        <v>3</v>
      </c>
      <c r="EC142" t="s">
        <v>3</v>
      </c>
      <c r="EE142">
        <v>53212866</v>
      </c>
      <c r="EF142">
        <v>30</v>
      </c>
      <c r="EG142" t="s">
        <v>37</v>
      </c>
      <c r="EH142">
        <v>0</v>
      </c>
      <c r="EI142" t="s">
        <v>3</v>
      </c>
      <c r="EJ142">
        <v>1</v>
      </c>
      <c r="EK142">
        <v>117</v>
      </c>
      <c r="EL142" t="s">
        <v>138</v>
      </c>
      <c r="EM142" t="s">
        <v>139</v>
      </c>
      <c r="EO142" t="s">
        <v>3</v>
      </c>
      <c r="EQ142">
        <v>131072</v>
      </c>
      <c r="ER142">
        <v>184.63</v>
      </c>
      <c r="ES142">
        <v>46</v>
      </c>
      <c r="ET142">
        <v>2.4900000000000002</v>
      </c>
      <c r="EU142">
        <v>0.38</v>
      </c>
      <c r="EV142">
        <v>136.13999999999999</v>
      </c>
      <c r="EW142">
        <v>10.9</v>
      </c>
      <c r="EX142">
        <v>0</v>
      </c>
      <c r="EY142">
        <v>0</v>
      </c>
      <c r="FQ142">
        <v>0</v>
      </c>
      <c r="FR142">
        <f t="shared" si="165"/>
        <v>0</v>
      </c>
      <c r="FS142">
        <v>0</v>
      </c>
      <c r="FX142">
        <v>100</v>
      </c>
      <c r="FY142">
        <v>64</v>
      </c>
      <c r="GA142" t="s">
        <v>3</v>
      </c>
      <c r="GD142">
        <v>0</v>
      </c>
      <c r="GF142">
        <v>-358014828</v>
      </c>
      <c r="GG142">
        <v>2</v>
      </c>
      <c r="GH142">
        <v>1</v>
      </c>
      <c r="GI142">
        <v>2</v>
      </c>
      <c r="GJ142">
        <v>0</v>
      </c>
      <c r="GK142">
        <f>ROUND(R142*(R12)/100,2)</f>
        <v>7.71</v>
      </c>
      <c r="GL142">
        <f t="shared" si="166"/>
        <v>0</v>
      </c>
      <c r="GM142">
        <f t="shared" si="167"/>
        <v>3634.85</v>
      </c>
      <c r="GN142">
        <f t="shared" si="168"/>
        <v>3634.85</v>
      </c>
      <c r="GO142">
        <f t="shared" si="169"/>
        <v>0</v>
      </c>
      <c r="GP142">
        <f t="shared" si="170"/>
        <v>0</v>
      </c>
      <c r="GR142">
        <v>0</v>
      </c>
      <c r="GS142">
        <v>3</v>
      </c>
      <c r="GT142">
        <v>0</v>
      </c>
      <c r="GU142" t="s">
        <v>3</v>
      </c>
      <c r="GV142">
        <f t="shared" si="171"/>
        <v>0</v>
      </c>
      <c r="GW142">
        <v>1</v>
      </c>
      <c r="GX142">
        <f t="shared" si="172"/>
        <v>0</v>
      </c>
      <c r="HA142">
        <v>0</v>
      </c>
      <c r="HB142">
        <v>0</v>
      </c>
      <c r="HC142">
        <f t="shared" si="173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3" spans="1:245" x14ac:dyDescent="0.2">
      <c r="A143">
        <v>18</v>
      </c>
      <c r="B143">
        <v>1</v>
      </c>
      <c r="C143">
        <v>162</v>
      </c>
      <c r="E143" t="s">
        <v>353</v>
      </c>
      <c r="F143" t="s">
        <v>140</v>
      </c>
      <c r="G143" t="s">
        <v>141</v>
      </c>
      <c r="H143" t="s">
        <v>75</v>
      </c>
      <c r="I143">
        <f>I142*J143</f>
        <v>9.8600000000000007E-3</v>
      </c>
      <c r="J143">
        <v>2.9000000000000001E-2</v>
      </c>
      <c r="K143">
        <v>2.9000000000000001E-2</v>
      </c>
      <c r="O143">
        <f t="shared" si="141"/>
        <v>187.18</v>
      </c>
      <c r="P143">
        <f t="shared" si="142"/>
        <v>187.18</v>
      </c>
      <c r="Q143">
        <f>(ROUND((ROUND(((ET143)*AV143*I143),2)*BB143),2)+ROUND((ROUND(((AE143-(EU143))*AV143*I143),2)*BS143),2))</f>
        <v>0</v>
      </c>
      <c r="R143">
        <f t="shared" si="143"/>
        <v>0</v>
      </c>
      <c r="S143">
        <f t="shared" si="144"/>
        <v>0</v>
      </c>
      <c r="T143">
        <f t="shared" si="145"/>
        <v>0</v>
      </c>
      <c r="U143">
        <f t="shared" si="146"/>
        <v>0</v>
      </c>
      <c r="V143">
        <f t="shared" si="147"/>
        <v>0</v>
      </c>
      <c r="W143">
        <f t="shared" si="148"/>
        <v>0</v>
      </c>
      <c r="X143">
        <f t="shared" si="149"/>
        <v>0</v>
      </c>
      <c r="Y143">
        <f t="shared" si="150"/>
        <v>0</v>
      </c>
      <c r="AA143">
        <v>53860087</v>
      </c>
      <c r="AB143">
        <f t="shared" si="151"/>
        <v>2278.84</v>
      </c>
      <c r="AC143">
        <f t="shared" si="152"/>
        <v>2278.84</v>
      </c>
      <c r="AD143">
        <f>ROUND((((ET143)-(EU143))+AE143),6)</f>
        <v>0</v>
      </c>
      <c r="AE143">
        <f>ROUND((EU143),6)</f>
        <v>0</v>
      </c>
      <c r="AF143">
        <f>ROUND((EV143),6)</f>
        <v>0</v>
      </c>
      <c r="AG143">
        <f t="shared" si="153"/>
        <v>0</v>
      </c>
      <c r="AH143">
        <f>(EW143)</f>
        <v>0</v>
      </c>
      <c r="AI143">
        <f>(EX143)</f>
        <v>0</v>
      </c>
      <c r="AJ143">
        <f t="shared" si="154"/>
        <v>0</v>
      </c>
      <c r="AK143">
        <v>2278.84</v>
      </c>
      <c r="AL143">
        <v>2278.84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8.33</v>
      </c>
      <c r="BD143" t="s">
        <v>3</v>
      </c>
      <c r="BE143" t="s">
        <v>3</v>
      </c>
      <c r="BF143" t="s">
        <v>3</v>
      </c>
      <c r="BG143" t="s">
        <v>3</v>
      </c>
      <c r="BH143">
        <v>3</v>
      </c>
      <c r="BI143">
        <v>1</v>
      </c>
      <c r="BJ143" t="s">
        <v>142</v>
      </c>
      <c r="BM143">
        <v>117</v>
      </c>
      <c r="BN143">
        <v>36862081</v>
      </c>
      <c r="BO143" t="s">
        <v>140</v>
      </c>
      <c r="BP143">
        <v>1</v>
      </c>
      <c r="BQ143">
        <v>30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0</v>
      </c>
      <c r="CA143">
        <v>0</v>
      </c>
      <c r="CB143" t="s">
        <v>3</v>
      </c>
      <c r="CE143">
        <v>30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155"/>
        <v>187.18</v>
      </c>
      <c r="CQ143">
        <f t="shared" si="156"/>
        <v>18982.740000000002</v>
      </c>
      <c r="CR143">
        <f>(ROUND((ROUND(((ET143)*AV143*1),2)*BB143),2)+ROUND((ROUND(((AE143-(EU143))*AV143*1),2)*BS143),2))</f>
        <v>0</v>
      </c>
      <c r="CS143">
        <f t="shared" si="157"/>
        <v>0</v>
      </c>
      <c r="CT143">
        <f t="shared" si="158"/>
        <v>0</v>
      </c>
      <c r="CU143">
        <f t="shared" si="159"/>
        <v>0</v>
      </c>
      <c r="CV143">
        <f t="shared" si="160"/>
        <v>0</v>
      </c>
      <c r="CW143">
        <f t="shared" si="161"/>
        <v>0</v>
      </c>
      <c r="CX143">
        <f t="shared" si="162"/>
        <v>0</v>
      </c>
      <c r="CY143">
        <f t="shared" si="163"/>
        <v>0</v>
      </c>
      <c r="CZ143">
        <f t="shared" si="164"/>
        <v>0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100</v>
      </c>
      <c r="DO143">
        <v>64</v>
      </c>
      <c r="DP143">
        <v>1</v>
      </c>
      <c r="DQ143">
        <v>1</v>
      </c>
      <c r="DU143">
        <v>1009</v>
      </c>
      <c r="DV143" t="s">
        <v>75</v>
      </c>
      <c r="DW143" t="s">
        <v>75</v>
      </c>
      <c r="DX143">
        <v>1000</v>
      </c>
      <c r="DZ143" t="s">
        <v>3</v>
      </c>
      <c r="EA143" t="s">
        <v>3</v>
      </c>
      <c r="EB143" t="s">
        <v>3</v>
      </c>
      <c r="EC143" t="s">
        <v>3</v>
      </c>
      <c r="EE143">
        <v>53212866</v>
      </c>
      <c r="EF143">
        <v>30</v>
      </c>
      <c r="EG143" t="s">
        <v>37</v>
      </c>
      <c r="EH143">
        <v>0</v>
      </c>
      <c r="EI143" t="s">
        <v>3</v>
      </c>
      <c r="EJ143">
        <v>1</v>
      </c>
      <c r="EK143">
        <v>117</v>
      </c>
      <c r="EL143" t="s">
        <v>138</v>
      </c>
      <c r="EM143" t="s">
        <v>139</v>
      </c>
      <c r="EO143" t="s">
        <v>3</v>
      </c>
      <c r="EQ143">
        <v>0</v>
      </c>
      <c r="ER143">
        <v>2278.84</v>
      </c>
      <c r="ES143">
        <v>2278.84</v>
      </c>
      <c r="ET143">
        <v>0</v>
      </c>
      <c r="EU143">
        <v>0</v>
      </c>
      <c r="EV143">
        <v>0</v>
      </c>
      <c r="EW143">
        <v>0</v>
      </c>
      <c r="EX143">
        <v>0</v>
      </c>
      <c r="FQ143">
        <v>0</v>
      </c>
      <c r="FR143">
        <f t="shared" si="165"/>
        <v>0</v>
      </c>
      <c r="FS143">
        <v>0</v>
      </c>
      <c r="FX143">
        <v>100</v>
      </c>
      <c r="FY143">
        <v>64</v>
      </c>
      <c r="GA143" t="s">
        <v>3</v>
      </c>
      <c r="GD143">
        <v>0</v>
      </c>
      <c r="GF143">
        <v>1793685401</v>
      </c>
      <c r="GG143">
        <v>2</v>
      </c>
      <c r="GH143">
        <v>1</v>
      </c>
      <c r="GI143">
        <v>2</v>
      </c>
      <c r="GJ143">
        <v>0</v>
      </c>
      <c r="GK143">
        <f>ROUND(R143*(R12)/100,2)</f>
        <v>0</v>
      </c>
      <c r="GL143">
        <f t="shared" si="166"/>
        <v>0</v>
      </c>
      <c r="GM143">
        <f t="shared" si="167"/>
        <v>187.18</v>
      </c>
      <c r="GN143">
        <f t="shared" si="168"/>
        <v>187.18</v>
      </c>
      <c r="GO143">
        <f t="shared" si="169"/>
        <v>0</v>
      </c>
      <c r="GP143">
        <f t="shared" si="170"/>
        <v>0</v>
      </c>
      <c r="GR143">
        <v>0</v>
      </c>
      <c r="GS143">
        <v>3</v>
      </c>
      <c r="GT143">
        <v>0</v>
      </c>
      <c r="GU143" t="s">
        <v>3</v>
      </c>
      <c r="GV143">
        <f t="shared" si="171"/>
        <v>0</v>
      </c>
      <c r="GW143">
        <v>1</v>
      </c>
      <c r="GX143">
        <f t="shared" si="172"/>
        <v>0</v>
      </c>
      <c r="HA143">
        <v>0</v>
      </c>
      <c r="HB143">
        <v>0</v>
      </c>
      <c r="HC143">
        <f t="shared" si="173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IK143">
        <v>0</v>
      </c>
    </row>
    <row r="144" spans="1:245" x14ac:dyDescent="0.2">
      <c r="A144">
        <v>17</v>
      </c>
      <c r="B144">
        <v>1</v>
      </c>
      <c r="C144">
        <f>ROW(SmtRes!A169)</f>
        <v>169</v>
      </c>
      <c r="D144">
        <f>ROW(EtalonRes!A264)</f>
        <v>264</v>
      </c>
      <c r="E144" t="s">
        <v>354</v>
      </c>
      <c r="F144" t="s">
        <v>355</v>
      </c>
      <c r="G144" t="s">
        <v>356</v>
      </c>
      <c r="H144" t="s">
        <v>28</v>
      </c>
      <c r="I144">
        <f>ROUND(34/100,9)</f>
        <v>0.34</v>
      </c>
      <c r="J144">
        <v>0</v>
      </c>
      <c r="K144">
        <f>ROUND(34/100,9)</f>
        <v>0.34</v>
      </c>
      <c r="O144">
        <f t="shared" si="141"/>
        <v>4639.2700000000004</v>
      </c>
      <c r="P144">
        <f t="shared" si="142"/>
        <v>124.33</v>
      </c>
      <c r="Q144">
        <f>(ROUND((ROUND((((ET144*1.25))*AV144*I144),2)*BB144),2)+ROUND((ROUND(((AE144-((EU144*1.25)))*AV144*I144),2)*BS144),2))</f>
        <v>42.68</v>
      </c>
      <c r="R144">
        <f t="shared" si="143"/>
        <v>16.25</v>
      </c>
      <c r="S144">
        <f t="shared" si="144"/>
        <v>4472.26</v>
      </c>
      <c r="T144">
        <f t="shared" si="145"/>
        <v>0</v>
      </c>
      <c r="U144">
        <f t="shared" si="146"/>
        <v>12.797429999999999</v>
      </c>
      <c r="V144">
        <f t="shared" si="147"/>
        <v>0</v>
      </c>
      <c r="W144">
        <f t="shared" si="148"/>
        <v>0</v>
      </c>
      <c r="X144">
        <f t="shared" si="149"/>
        <v>3711.98</v>
      </c>
      <c r="Y144">
        <f t="shared" si="150"/>
        <v>1833.63</v>
      </c>
      <c r="AA144">
        <v>53860087</v>
      </c>
      <c r="AB144">
        <f t="shared" si="151"/>
        <v>605.01750000000004</v>
      </c>
      <c r="AC144">
        <f t="shared" si="152"/>
        <v>157.63</v>
      </c>
      <c r="AD144">
        <f>ROUND(((((ET144*1.25))-((EU144*1.25)))+AE144),6)</f>
        <v>10.387499999999999</v>
      </c>
      <c r="AE144">
        <f>ROUND(((EU144*1.25)),6)</f>
        <v>1.575</v>
      </c>
      <c r="AF144">
        <f>ROUND(((EV144*1.15)),6)</f>
        <v>437</v>
      </c>
      <c r="AG144">
        <f t="shared" si="153"/>
        <v>0</v>
      </c>
      <c r="AH144">
        <f>((EW144*1.15))</f>
        <v>37.639499999999991</v>
      </c>
      <c r="AI144">
        <f>((EX144*1.25))</f>
        <v>0</v>
      </c>
      <c r="AJ144">
        <f t="shared" si="154"/>
        <v>0</v>
      </c>
      <c r="AK144">
        <v>545.94000000000005</v>
      </c>
      <c r="AL144">
        <v>157.63</v>
      </c>
      <c r="AM144">
        <v>8.31</v>
      </c>
      <c r="AN144">
        <v>1.26</v>
      </c>
      <c r="AO144">
        <v>380</v>
      </c>
      <c r="AP144">
        <v>0</v>
      </c>
      <c r="AQ144">
        <v>32.729999999999997</v>
      </c>
      <c r="AR144">
        <v>0</v>
      </c>
      <c r="AS144">
        <v>0</v>
      </c>
      <c r="AT144">
        <v>83</v>
      </c>
      <c r="AU144">
        <v>41</v>
      </c>
      <c r="AV144">
        <v>1</v>
      </c>
      <c r="AW144">
        <v>1</v>
      </c>
      <c r="AZ144">
        <v>1</v>
      </c>
      <c r="BA144">
        <v>30.1</v>
      </c>
      <c r="BB144">
        <v>12.09</v>
      </c>
      <c r="BC144">
        <v>2.3199999999999998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1</v>
      </c>
      <c r="BJ144" t="s">
        <v>357</v>
      </c>
      <c r="BM144">
        <v>2087</v>
      </c>
      <c r="BN144">
        <v>36862081</v>
      </c>
      <c r="BO144" t="s">
        <v>355</v>
      </c>
      <c r="BP144">
        <v>1</v>
      </c>
      <c r="BQ144">
        <v>30</v>
      </c>
      <c r="BR144">
        <v>0</v>
      </c>
      <c r="BS144">
        <v>30.1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83</v>
      </c>
      <c r="CA144">
        <v>41</v>
      </c>
      <c r="CB144" t="s">
        <v>3</v>
      </c>
      <c r="CE144">
        <v>30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155"/>
        <v>4639.2700000000004</v>
      </c>
      <c r="CQ144">
        <f t="shared" si="156"/>
        <v>365.7</v>
      </c>
      <c r="CR144">
        <f>(ROUND((ROUND((((ET144*1.25))*AV144*1),2)*BB144),2)+ROUND((ROUND(((AE144-((EU144*1.25)))*AV144*1),2)*BS144),2))</f>
        <v>125.62</v>
      </c>
      <c r="CS144">
        <f t="shared" si="157"/>
        <v>47.56</v>
      </c>
      <c r="CT144">
        <f t="shared" si="158"/>
        <v>13153.7</v>
      </c>
      <c r="CU144">
        <f t="shared" si="159"/>
        <v>0</v>
      </c>
      <c r="CV144">
        <f t="shared" si="160"/>
        <v>37.639499999999991</v>
      </c>
      <c r="CW144">
        <f t="shared" si="161"/>
        <v>0</v>
      </c>
      <c r="CX144">
        <f t="shared" si="162"/>
        <v>0</v>
      </c>
      <c r="CY144">
        <f t="shared" si="163"/>
        <v>3711.9758000000002</v>
      </c>
      <c r="CZ144">
        <f t="shared" si="164"/>
        <v>1833.6266000000001</v>
      </c>
      <c r="DC144" t="s">
        <v>3</v>
      </c>
      <c r="DD144" t="s">
        <v>3</v>
      </c>
      <c r="DE144" t="s">
        <v>51</v>
      </c>
      <c r="DF144" t="s">
        <v>51</v>
      </c>
      <c r="DG144" t="s">
        <v>52</v>
      </c>
      <c r="DH144" t="s">
        <v>3</v>
      </c>
      <c r="DI144" t="s">
        <v>52</v>
      </c>
      <c r="DJ144" t="s">
        <v>51</v>
      </c>
      <c r="DK144" t="s">
        <v>3</v>
      </c>
      <c r="DL144" t="s">
        <v>3</v>
      </c>
      <c r="DM144" t="s">
        <v>3</v>
      </c>
      <c r="DN144">
        <v>100</v>
      </c>
      <c r="DO144">
        <v>64</v>
      </c>
      <c r="DP144">
        <v>1</v>
      </c>
      <c r="DQ144">
        <v>1</v>
      </c>
      <c r="DU144">
        <v>1005</v>
      </c>
      <c r="DV144" t="s">
        <v>28</v>
      </c>
      <c r="DW144" t="s">
        <v>28</v>
      </c>
      <c r="DX144">
        <v>100</v>
      </c>
      <c r="DZ144" t="s">
        <v>3</v>
      </c>
      <c r="EA144" t="s">
        <v>3</v>
      </c>
      <c r="EB144" t="s">
        <v>3</v>
      </c>
      <c r="EC144" t="s">
        <v>3</v>
      </c>
      <c r="EE144">
        <v>53214868</v>
      </c>
      <c r="EF144">
        <v>30</v>
      </c>
      <c r="EG144" t="s">
        <v>37</v>
      </c>
      <c r="EH144">
        <v>0</v>
      </c>
      <c r="EI144" t="s">
        <v>3</v>
      </c>
      <c r="EJ144">
        <v>1</v>
      </c>
      <c r="EK144">
        <v>2087</v>
      </c>
      <c r="EL144" t="s">
        <v>146</v>
      </c>
      <c r="EM144" t="s">
        <v>147</v>
      </c>
      <c r="EO144" t="s">
        <v>3</v>
      </c>
      <c r="EQ144">
        <v>0</v>
      </c>
      <c r="ER144">
        <v>545.94000000000005</v>
      </c>
      <c r="ES144">
        <v>157.63</v>
      </c>
      <c r="ET144">
        <v>8.31</v>
      </c>
      <c r="EU144">
        <v>1.26</v>
      </c>
      <c r="EV144">
        <v>380</v>
      </c>
      <c r="EW144">
        <v>32.729999999999997</v>
      </c>
      <c r="EX144">
        <v>0</v>
      </c>
      <c r="EY144">
        <v>0</v>
      </c>
      <c r="FQ144">
        <v>0</v>
      </c>
      <c r="FR144">
        <f t="shared" si="165"/>
        <v>0</v>
      </c>
      <c r="FS144">
        <v>0</v>
      </c>
      <c r="FX144">
        <v>100</v>
      </c>
      <c r="FY144">
        <v>64</v>
      </c>
      <c r="GA144" t="s">
        <v>3</v>
      </c>
      <c r="GD144">
        <v>0</v>
      </c>
      <c r="GF144">
        <v>1523671884</v>
      </c>
      <c r="GG144">
        <v>2</v>
      </c>
      <c r="GH144">
        <v>1</v>
      </c>
      <c r="GI144">
        <v>2</v>
      </c>
      <c r="GJ144">
        <v>0</v>
      </c>
      <c r="GK144">
        <f>ROUND(R144*(R12)/100,2)</f>
        <v>26</v>
      </c>
      <c r="GL144">
        <f t="shared" si="166"/>
        <v>0</v>
      </c>
      <c r="GM144">
        <f t="shared" si="167"/>
        <v>10210.879999999999</v>
      </c>
      <c r="GN144">
        <f t="shared" si="168"/>
        <v>10210.879999999999</v>
      </c>
      <c r="GO144">
        <f t="shared" si="169"/>
        <v>0</v>
      </c>
      <c r="GP144">
        <f t="shared" si="170"/>
        <v>0</v>
      </c>
      <c r="GR144">
        <v>0</v>
      </c>
      <c r="GS144">
        <v>3</v>
      </c>
      <c r="GT144">
        <v>0</v>
      </c>
      <c r="GU144" t="s">
        <v>3</v>
      </c>
      <c r="GV144">
        <f t="shared" si="171"/>
        <v>0</v>
      </c>
      <c r="GW144">
        <v>1</v>
      </c>
      <c r="GX144">
        <f t="shared" si="172"/>
        <v>0</v>
      </c>
      <c r="HA144">
        <v>0</v>
      </c>
      <c r="HB144">
        <v>0</v>
      </c>
      <c r="HC144">
        <f t="shared" si="173"/>
        <v>0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IK144">
        <v>0</v>
      </c>
    </row>
    <row r="145" spans="1:245" x14ac:dyDescent="0.2">
      <c r="A145">
        <v>18</v>
      </c>
      <c r="B145">
        <v>1</v>
      </c>
      <c r="C145">
        <v>168</v>
      </c>
      <c r="E145" t="s">
        <v>358</v>
      </c>
      <c r="F145" t="s">
        <v>56</v>
      </c>
      <c r="G145" t="s">
        <v>57</v>
      </c>
      <c r="H145" t="s">
        <v>58</v>
      </c>
      <c r="I145">
        <f>I144*J145</f>
        <v>6.7999999999999989</v>
      </c>
      <c r="J145">
        <v>19.999999999999996</v>
      </c>
      <c r="K145">
        <v>20</v>
      </c>
      <c r="O145">
        <f t="shared" si="141"/>
        <v>705.47</v>
      </c>
      <c r="P145">
        <f t="shared" si="142"/>
        <v>705.47</v>
      </c>
      <c r="Q145">
        <f>(ROUND((ROUND(((ET145)*AV145*I145),2)*BB145),2)+ROUND((ROUND(((AE145-(EU145))*AV145*I145),2)*BS145),2))</f>
        <v>0</v>
      </c>
      <c r="R145">
        <f t="shared" si="143"/>
        <v>0</v>
      </c>
      <c r="S145">
        <f t="shared" si="144"/>
        <v>0</v>
      </c>
      <c r="T145">
        <f t="shared" si="145"/>
        <v>0</v>
      </c>
      <c r="U145">
        <f t="shared" si="146"/>
        <v>0</v>
      </c>
      <c r="V145">
        <f t="shared" si="147"/>
        <v>0</v>
      </c>
      <c r="W145">
        <f t="shared" si="148"/>
        <v>0</v>
      </c>
      <c r="X145">
        <f t="shared" si="149"/>
        <v>0</v>
      </c>
      <c r="Y145">
        <f t="shared" si="150"/>
        <v>0</v>
      </c>
      <c r="AA145">
        <v>53860087</v>
      </c>
      <c r="AB145">
        <f t="shared" si="151"/>
        <v>28.98</v>
      </c>
      <c r="AC145">
        <f t="shared" si="152"/>
        <v>28.98</v>
      </c>
      <c r="AD145">
        <f>ROUND((((ET145)-(EU145))+AE145),6)</f>
        <v>0</v>
      </c>
      <c r="AE145">
        <f>ROUND((EU145),6)</f>
        <v>0</v>
      </c>
      <c r="AF145">
        <f>ROUND((EV145),6)</f>
        <v>0</v>
      </c>
      <c r="AG145">
        <f t="shared" si="153"/>
        <v>0</v>
      </c>
      <c r="AH145">
        <f>(EW145)</f>
        <v>0</v>
      </c>
      <c r="AI145">
        <f>(EX145)</f>
        <v>0</v>
      </c>
      <c r="AJ145">
        <f t="shared" si="154"/>
        <v>0</v>
      </c>
      <c r="AK145">
        <v>28.98</v>
      </c>
      <c r="AL145">
        <v>28.98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3.58</v>
      </c>
      <c r="BD145" t="s">
        <v>3</v>
      </c>
      <c r="BE145" t="s">
        <v>3</v>
      </c>
      <c r="BF145" t="s">
        <v>3</v>
      </c>
      <c r="BG145" t="s">
        <v>3</v>
      </c>
      <c r="BH145">
        <v>3</v>
      </c>
      <c r="BI145">
        <v>1</v>
      </c>
      <c r="BJ145" t="s">
        <v>59</v>
      </c>
      <c r="BM145">
        <v>2087</v>
      </c>
      <c r="BN145">
        <v>36862081</v>
      </c>
      <c r="BO145" t="s">
        <v>56</v>
      </c>
      <c r="BP145">
        <v>1</v>
      </c>
      <c r="BQ145">
        <v>30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0</v>
      </c>
      <c r="CA145">
        <v>0</v>
      </c>
      <c r="CB145" t="s">
        <v>3</v>
      </c>
      <c r="CE145">
        <v>30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155"/>
        <v>705.47</v>
      </c>
      <c r="CQ145">
        <f t="shared" si="156"/>
        <v>103.75</v>
      </c>
      <c r="CR145">
        <f>(ROUND((ROUND(((ET145)*AV145*1),2)*BB145),2)+ROUND((ROUND(((AE145-(EU145))*AV145*1),2)*BS145),2))</f>
        <v>0</v>
      </c>
      <c r="CS145">
        <f t="shared" si="157"/>
        <v>0</v>
      </c>
      <c r="CT145">
        <f t="shared" si="158"/>
        <v>0</v>
      </c>
      <c r="CU145">
        <f t="shared" si="159"/>
        <v>0</v>
      </c>
      <c r="CV145">
        <f t="shared" si="160"/>
        <v>0</v>
      </c>
      <c r="CW145">
        <f t="shared" si="161"/>
        <v>0</v>
      </c>
      <c r="CX145">
        <f t="shared" si="162"/>
        <v>0</v>
      </c>
      <c r="CY145">
        <f t="shared" si="163"/>
        <v>0</v>
      </c>
      <c r="CZ145">
        <f t="shared" si="164"/>
        <v>0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100</v>
      </c>
      <c r="DO145">
        <v>64</v>
      </c>
      <c r="DP145">
        <v>1</v>
      </c>
      <c r="DQ145">
        <v>1</v>
      </c>
      <c r="DU145">
        <v>1009</v>
      </c>
      <c r="DV145" t="s">
        <v>58</v>
      </c>
      <c r="DW145" t="s">
        <v>58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53214868</v>
      </c>
      <c r="EF145">
        <v>30</v>
      </c>
      <c r="EG145" t="s">
        <v>37</v>
      </c>
      <c r="EH145">
        <v>0</v>
      </c>
      <c r="EI145" t="s">
        <v>3</v>
      </c>
      <c r="EJ145">
        <v>1</v>
      </c>
      <c r="EK145">
        <v>2087</v>
      </c>
      <c r="EL145" t="s">
        <v>146</v>
      </c>
      <c r="EM145" t="s">
        <v>147</v>
      </c>
      <c r="EO145" t="s">
        <v>3</v>
      </c>
      <c r="EQ145">
        <v>0</v>
      </c>
      <c r="ER145">
        <v>28.98</v>
      </c>
      <c r="ES145">
        <v>28.98</v>
      </c>
      <c r="ET145">
        <v>0</v>
      </c>
      <c r="EU145">
        <v>0</v>
      </c>
      <c r="EV145">
        <v>0</v>
      </c>
      <c r="EW145">
        <v>0</v>
      </c>
      <c r="EX145">
        <v>0</v>
      </c>
      <c r="FQ145">
        <v>0</v>
      </c>
      <c r="FR145">
        <f t="shared" si="165"/>
        <v>0</v>
      </c>
      <c r="FS145">
        <v>0</v>
      </c>
      <c r="FX145">
        <v>100</v>
      </c>
      <c r="FY145">
        <v>64</v>
      </c>
      <c r="GA145" t="s">
        <v>3</v>
      </c>
      <c r="GD145">
        <v>0</v>
      </c>
      <c r="GF145">
        <v>33071459</v>
      </c>
      <c r="GG145">
        <v>2</v>
      </c>
      <c r="GH145">
        <v>1</v>
      </c>
      <c r="GI145">
        <v>2</v>
      </c>
      <c r="GJ145">
        <v>0</v>
      </c>
      <c r="GK145">
        <f>ROUND(R145*(R12)/100,2)</f>
        <v>0</v>
      </c>
      <c r="GL145">
        <f t="shared" si="166"/>
        <v>0</v>
      </c>
      <c r="GM145">
        <f t="shared" si="167"/>
        <v>705.47</v>
      </c>
      <c r="GN145">
        <f t="shared" si="168"/>
        <v>705.47</v>
      </c>
      <c r="GO145">
        <f t="shared" si="169"/>
        <v>0</v>
      </c>
      <c r="GP145">
        <f t="shared" si="170"/>
        <v>0</v>
      </c>
      <c r="GR145">
        <v>0</v>
      </c>
      <c r="GS145">
        <v>3</v>
      </c>
      <c r="GT145">
        <v>0</v>
      </c>
      <c r="GU145" t="s">
        <v>3</v>
      </c>
      <c r="GV145">
        <f t="shared" si="171"/>
        <v>0</v>
      </c>
      <c r="GW145">
        <v>1</v>
      </c>
      <c r="GX145">
        <f t="shared" si="172"/>
        <v>0</v>
      </c>
      <c r="HA145">
        <v>0</v>
      </c>
      <c r="HB145">
        <v>0</v>
      </c>
      <c r="HC145">
        <f t="shared" si="173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IK145">
        <v>0</v>
      </c>
    </row>
    <row r="146" spans="1:245" x14ac:dyDescent="0.2">
      <c r="A146">
        <v>18</v>
      </c>
      <c r="B146">
        <v>1</v>
      </c>
      <c r="C146">
        <v>169</v>
      </c>
      <c r="E146" t="s">
        <v>359</v>
      </c>
      <c r="F146" t="s">
        <v>89</v>
      </c>
      <c r="G146" t="s">
        <v>976</v>
      </c>
      <c r="H146" t="s">
        <v>58</v>
      </c>
      <c r="I146">
        <f>I144*J146</f>
        <v>10.199999999999999</v>
      </c>
      <c r="J146">
        <v>29.999999999999996</v>
      </c>
      <c r="K146">
        <v>30</v>
      </c>
      <c r="O146">
        <f t="shared" si="141"/>
        <v>5233.67</v>
      </c>
      <c r="P146">
        <f t="shared" si="142"/>
        <v>5233.67</v>
      </c>
      <c r="Q146">
        <f>(ROUND((ROUND(((ET146)*AV146*I146),2)*BB146),2)+ROUND((ROUND(((AE146-(EU146))*AV146*I146),2)*BS146),2))</f>
        <v>0</v>
      </c>
      <c r="R146">
        <f t="shared" si="143"/>
        <v>0</v>
      </c>
      <c r="S146">
        <f t="shared" si="144"/>
        <v>0</v>
      </c>
      <c r="T146">
        <f t="shared" si="145"/>
        <v>0</v>
      </c>
      <c r="U146">
        <f t="shared" si="146"/>
        <v>0</v>
      </c>
      <c r="V146">
        <f t="shared" si="147"/>
        <v>0</v>
      </c>
      <c r="W146">
        <f t="shared" si="148"/>
        <v>0</v>
      </c>
      <c r="X146">
        <f t="shared" si="149"/>
        <v>0</v>
      </c>
      <c r="Y146">
        <f t="shared" si="150"/>
        <v>0</v>
      </c>
      <c r="AA146">
        <v>53860087</v>
      </c>
      <c r="AB146">
        <f t="shared" si="151"/>
        <v>108.25</v>
      </c>
      <c r="AC146">
        <f t="shared" si="152"/>
        <v>108.25</v>
      </c>
      <c r="AD146">
        <f>ROUND((((ET146)-(EU146))+AE146),6)</f>
        <v>0</v>
      </c>
      <c r="AE146">
        <f>ROUND((EU146),6)</f>
        <v>0</v>
      </c>
      <c r="AF146">
        <f>ROUND((EV146),6)</f>
        <v>0</v>
      </c>
      <c r="AG146">
        <f t="shared" si="153"/>
        <v>0</v>
      </c>
      <c r="AH146">
        <f>(EW146)</f>
        <v>0</v>
      </c>
      <c r="AI146">
        <f>(EX146)</f>
        <v>0</v>
      </c>
      <c r="AJ146">
        <f t="shared" si="154"/>
        <v>0</v>
      </c>
      <c r="AK146">
        <v>108.25</v>
      </c>
      <c r="AL146">
        <v>108.25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4.74</v>
      </c>
      <c r="BD146" t="s">
        <v>3</v>
      </c>
      <c r="BE146" t="s">
        <v>3</v>
      </c>
      <c r="BF146" t="s">
        <v>3</v>
      </c>
      <c r="BG146" t="s">
        <v>3</v>
      </c>
      <c r="BH146">
        <v>3</v>
      </c>
      <c r="BI146">
        <v>1</v>
      </c>
      <c r="BJ146" t="s">
        <v>90</v>
      </c>
      <c r="BM146">
        <v>2087</v>
      </c>
      <c r="BN146">
        <v>36862081</v>
      </c>
      <c r="BO146" t="s">
        <v>89</v>
      </c>
      <c r="BP146">
        <v>1</v>
      </c>
      <c r="BQ146">
        <v>30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0</v>
      </c>
      <c r="CA146">
        <v>0</v>
      </c>
      <c r="CB146" t="s">
        <v>3</v>
      </c>
      <c r="CE146">
        <v>30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155"/>
        <v>5233.67</v>
      </c>
      <c r="CQ146">
        <f t="shared" si="156"/>
        <v>513.11</v>
      </c>
      <c r="CR146">
        <f>(ROUND((ROUND(((ET146)*AV146*1),2)*BB146),2)+ROUND((ROUND(((AE146-(EU146))*AV146*1),2)*BS146),2))</f>
        <v>0</v>
      </c>
      <c r="CS146">
        <f t="shared" si="157"/>
        <v>0</v>
      </c>
      <c r="CT146">
        <f t="shared" si="158"/>
        <v>0</v>
      </c>
      <c r="CU146">
        <f t="shared" si="159"/>
        <v>0</v>
      </c>
      <c r="CV146">
        <f t="shared" si="160"/>
        <v>0</v>
      </c>
      <c r="CW146">
        <f t="shared" si="161"/>
        <v>0</v>
      </c>
      <c r="CX146">
        <f t="shared" si="162"/>
        <v>0</v>
      </c>
      <c r="CY146">
        <f t="shared" si="163"/>
        <v>0</v>
      </c>
      <c r="CZ146">
        <f t="shared" si="164"/>
        <v>0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100</v>
      </c>
      <c r="DO146">
        <v>64</v>
      </c>
      <c r="DP146">
        <v>1</v>
      </c>
      <c r="DQ146">
        <v>1</v>
      </c>
      <c r="DU146">
        <v>1009</v>
      </c>
      <c r="DV146" t="s">
        <v>58</v>
      </c>
      <c r="DW146" t="s">
        <v>58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53214868</v>
      </c>
      <c r="EF146">
        <v>30</v>
      </c>
      <c r="EG146" t="s">
        <v>37</v>
      </c>
      <c r="EH146">
        <v>0</v>
      </c>
      <c r="EI146" t="s">
        <v>3</v>
      </c>
      <c r="EJ146">
        <v>1</v>
      </c>
      <c r="EK146">
        <v>2087</v>
      </c>
      <c r="EL146" t="s">
        <v>146</v>
      </c>
      <c r="EM146" t="s">
        <v>147</v>
      </c>
      <c r="EO146" t="s">
        <v>3</v>
      </c>
      <c r="EQ146">
        <v>0</v>
      </c>
      <c r="ER146">
        <v>108.25</v>
      </c>
      <c r="ES146">
        <v>108.25</v>
      </c>
      <c r="ET146">
        <v>0</v>
      </c>
      <c r="EU146">
        <v>0</v>
      </c>
      <c r="EV146">
        <v>0</v>
      </c>
      <c r="EW146">
        <v>0</v>
      </c>
      <c r="EX146">
        <v>0</v>
      </c>
      <c r="FQ146">
        <v>0</v>
      </c>
      <c r="FR146">
        <f t="shared" si="165"/>
        <v>0</v>
      </c>
      <c r="FS146">
        <v>0</v>
      </c>
      <c r="FX146">
        <v>100</v>
      </c>
      <c r="FY146">
        <v>64</v>
      </c>
      <c r="GA146" t="s">
        <v>3</v>
      </c>
      <c r="GD146">
        <v>0</v>
      </c>
      <c r="GF146">
        <v>-1515598087</v>
      </c>
      <c r="GG146">
        <v>2</v>
      </c>
      <c r="GH146">
        <v>1</v>
      </c>
      <c r="GI146">
        <v>2</v>
      </c>
      <c r="GJ146">
        <v>0</v>
      </c>
      <c r="GK146">
        <f>ROUND(R146*(R12)/100,2)</f>
        <v>0</v>
      </c>
      <c r="GL146">
        <f t="shared" si="166"/>
        <v>0</v>
      </c>
      <c r="GM146">
        <f t="shared" si="167"/>
        <v>5233.67</v>
      </c>
      <c r="GN146">
        <f t="shared" si="168"/>
        <v>5233.67</v>
      </c>
      <c r="GO146">
        <f t="shared" si="169"/>
        <v>0</v>
      </c>
      <c r="GP146">
        <f t="shared" si="170"/>
        <v>0</v>
      </c>
      <c r="GR146">
        <v>0</v>
      </c>
      <c r="GS146">
        <v>3</v>
      </c>
      <c r="GT146">
        <v>0</v>
      </c>
      <c r="GU146" t="s">
        <v>3</v>
      </c>
      <c r="GV146">
        <f t="shared" si="171"/>
        <v>0</v>
      </c>
      <c r="GW146">
        <v>1</v>
      </c>
      <c r="GX146">
        <f t="shared" si="172"/>
        <v>0</v>
      </c>
      <c r="HA146">
        <v>0</v>
      </c>
      <c r="HB146">
        <v>0</v>
      </c>
      <c r="HC146">
        <f t="shared" si="173"/>
        <v>0</v>
      </c>
      <c r="HE146" t="s">
        <v>3</v>
      </c>
      <c r="HF146" t="s">
        <v>3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IK146">
        <v>0</v>
      </c>
    </row>
    <row r="147" spans="1:245" x14ac:dyDescent="0.2">
      <c r="A147">
        <v>17</v>
      </c>
      <c r="B147">
        <v>1</v>
      </c>
      <c r="C147">
        <f>ROW(SmtRes!A171)</f>
        <v>171</v>
      </c>
      <c r="D147">
        <f>ROW(EtalonRes!A270)</f>
        <v>270</v>
      </c>
      <c r="E147" t="s">
        <v>3</v>
      </c>
      <c r="F147" t="s">
        <v>360</v>
      </c>
      <c r="G147" t="s">
        <v>361</v>
      </c>
      <c r="H147" t="s">
        <v>362</v>
      </c>
      <c r="I147">
        <f>ROUND(60/100,9)</f>
        <v>0.6</v>
      </c>
      <c r="J147">
        <v>0</v>
      </c>
      <c r="K147">
        <f>ROUND(60/100,9)</f>
        <v>0.6</v>
      </c>
      <c r="O147">
        <f t="shared" si="141"/>
        <v>27792.04</v>
      </c>
      <c r="P147">
        <f t="shared" si="142"/>
        <v>173.48</v>
      </c>
      <c r="Q147">
        <f>(ROUND((ROUND((((ET147*1.25))*AV147*I147),2)*BB147),2)+ROUND((ROUND(((AE147-((EU147*1.25)))*AV147*I147),2)*BS147),2))</f>
        <v>0</v>
      </c>
      <c r="R147">
        <f t="shared" si="143"/>
        <v>0</v>
      </c>
      <c r="S147">
        <f t="shared" si="144"/>
        <v>27618.560000000001</v>
      </c>
      <c r="T147">
        <f t="shared" si="145"/>
        <v>0</v>
      </c>
      <c r="U147">
        <f t="shared" si="146"/>
        <v>83.489999999999981</v>
      </c>
      <c r="V147">
        <f t="shared" si="147"/>
        <v>0</v>
      </c>
      <c r="W147">
        <f t="shared" si="148"/>
        <v>0</v>
      </c>
      <c r="X147">
        <f t="shared" si="149"/>
        <v>20713.919999999998</v>
      </c>
      <c r="Y147">
        <f t="shared" si="150"/>
        <v>11323.61</v>
      </c>
      <c r="AA147">
        <v>-1</v>
      </c>
      <c r="AB147">
        <f t="shared" si="151"/>
        <v>1586.7384999999999</v>
      </c>
      <c r="AC147">
        <f t="shared" si="152"/>
        <v>57.48</v>
      </c>
      <c r="AD147">
        <f>ROUND(((((ET147*1.25))-((EU147*1.25)))+AE147),6)</f>
        <v>0</v>
      </c>
      <c r="AE147">
        <f>ROUND(((EU147*1.25)),6)</f>
        <v>0</v>
      </c>
      <c r="AF147">
        <f>ROUND(((EV147*1.15)),6)</f>
        <v>1529.2584999999999</v>
      </c>
      <c r="AG147">
        <f t="shared" si="153"/>
        <v>0</v>
      </c>
      <c r="AH147">
        <f>((EW147*1.15))</f>
        <v>139.14999999999998</v>
      </c>
      <c r="AI147">
        <f>((EX147*1.25))</f>
        <v>0</v>
      </c>
      <c r="AJ147">
        <f t="shared" si="154"/>
        <v>0</v>
      </c>
      <c r="AK147">
        <v>1387.27</v>
      </c>
      <c r="AL147">
        <v>57.48</v>
      </c>
      <c r="AM147">
        <v>0</v>
      </c>
      <c r="AN147">
        <v>0</v>
      </c>
      <c r="AO147">
        <v>1329.79</v>
      </c>
      <c r="AP147">
        <v>0</v>
      </c>
      <c r="AQ147">
        <v>121</v>
      </c>
      <c r="AR147">
        <v>0</v>
      </c>
      <c r="AS147">
        <v>0</v>
      </c>
      <c r="AT147">
        <v>75</v>
      </c>
      <c r="AU147">
        <v>41</v>
      </c>
      <c r="AV147">
        <v>1</v>
      </c>
      <c r="AW147">
        <v>1</v>
      </c>
      <c r="AZ147">
        <v>1</v>
      </c>
      <c r="BA147">
        <v>30.1</v>
      </c>
      <c r="BB147">
        <v>1</v>
      </c>
      <c r="BC147">
        <v>5.03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1</v>
      </c>
      <c r="BJ147" t="s">
        <v>363</v>
      </c>
      <c r="BM147">
        <v>66</v>
      </c>
      <c r="BN147">
        <v>36862081</v>
      </c>
      <c r="BO147" t="s">
        <v>360</v>
      </c>
      <c r="BP147">
        <v>1</v>
      </c>
      <c r="BQ147">
        <v>30</v>
      </c>
      <c r="BR147">
        <v>0</v>
      </c>
      <c r="BS147">
        <v>30.1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75</v>
      </c>
      <c r="CA147">
        <v>41</v>
      </c>
      <c r="CB147" t="s">
        <v>3</v>
      </c>
      <c r="CE147">
        <v>30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155"/>
        <v>27792.04</v>
      </c>
      <c r="CQ147">
        <f t="shared" si="156"/>
        <v>289.12</v>
      </c>
      <c r="CR147">
        <f>(ROUND((ROUND((((ET147*1.25))*AV147*1),2)*BB147),2)+ROUND((ROUND(((AE147-((EU147*1.25)))*AV147*1),2)*BS147),2))</f>
        <v>0</v>
      </c>
      <c r="CS147">
        <f t="shared" si="157"/>
        <v>0</v>
      </c>
      <c r="CT147">
        <f t="shared" si="158"/>
        <v>46030.73</v>
      </c>
      <c r="CU147">
        <f t="shared" si="159"/>
        <v>0</v>
      </c>
      <c r="CV147">
        <f t="shared" si="160"/>
        <v>139.14999999999998</v>
      </c>
      <c r="CW147">
        <f t="shared" si="161"/>
        <v>0</v>
      </c>
      <c r="CX147">
        <f t="shared" si="162"/>
        <v>0</v>
      </c>
      <c r="CY147">
        <f t="shared" si="163"/>
        <v>20713.920000000002</v>
      </c>
      <c r="CZ147">
        <f t="shared" si="164"/>
        <v>11323.6096</v>
      </c>
      <c r="DC147" t="s">
        <v>3</v>
      </c>
      <c r="DD147" t="s">
        <v>3</v>
      </c>
      <c r="DE147" t="s">
        <v>51</v>
      </c>
      <c r="DF147" t="s">
        <v>51</v>
      </c>
      <c r="DG147" t="s">
        <v>52</v>
      </c>
      <c r="DH147" t="s">
        <v>3</v>
      </c>
      <c r="DI147" t="s">
        <v>52</v>
      </c>
      <c r="DJ147" t="s">
        <v>51</v>
      </c>
      <c r="DK147" t="s">
        <v>3</v>
      </c>
      <c r="DL147" t="s">
        <v>3</v>
      </c>
      <c r="DM147" t="s">
        <v>3</v>
      </c>
      <c r="DN147">
        <v>91</v>
      </c>
      <c r="DO147">
        <v>70</v>
      </c>
      <c r="DP147">
        <v>1</v>
      </c>
      <c r="DQ147">
        <v>1</v>
      </c>
      <c r="DU147">
        <v>1005</v>
      </c>
      <c r="DV147" t="s">
        <v>362</v>
      </c>
      <c r="DW147" t="s">
        <v>362</v>
      </c>
      <c r="DX147">
        <v>100</v>
      </c>
      <c r="DZ147" t="s">
        <v>3</v>
      </c>
      <c r="EA147" t="s">
        <v>3</v>
      </c>
      <c r="EB147" t="s">
        <v>3</v>
      </c>
      <c r="EC147" t="s">
        <v>3</v>
      </c>
      <c r="EE147">
        <v>53212815</v>
      </c>
      <c r="EF147">
        <v>30</v>
      </c>
      <c r="EG147" t="s">
        <v>37</v>
      </c>
      <c r="EH147">
        <v>0</v>
      </c>
      <c r="EI147" t="s">
        <v>3</v>
      </c>
      <c r="EJ147">
        <v>1</v>
      </c>
      <c r="EK147">
        <v>66</v>
      </c>
      <c r="EL147" t="s">
        <v>364</v>
      </c>
      <c r="EM147" t="s">
        <v>365</v>
      </c>
      <c r="EO147" t="s">
        <v>3</v>
      </c>
      <c r="EQ147">
        <v>132096</v>
      </c>
      <c r="ER147">
        <v>1387.27</v>
      </c>
      <c r="ES147">
        <v>57.48</v>
      </c>
      <c r="ET147">
        <v>0</v>
      </c>
      <c r="EU147">
        <v>0</v>
      </c>
      <c r="EV147">
        <v>1329.79</v>
      </c>
      <c r="EW147">
        <v>121</v>
      </c>
      <c r="EX147">
        <v>0</v>
      </c>
      <c r="EY147">
        <v>0</v>
      </c>
      <c r="FQ147">
        <v>0</v>
      </c>
      <c r="FR147">
        <f t="shared" si="165"/>
        <v>0</v>
      </c>
      <c r="FS147">
        <v>0</v>
      </c>
      <c r="FX147">
        <v>91</v>
      </c>
      <c r="FY147">
        <v>70</v>
      </c>
      <c r="GA147" t="s">
        <v>3</v>
      </c>
      <c r="GD147">
        <v>0</v>
      </c>
      <c r="GF147">
        <v>2105612582</v>
      </c>
      <c r="GG147">
        <v>2</v>
      </c>
      <c r="GH147">
        <v>1</v>
      </c>
      <c r="GI147">
        <v>2</v>
      </c>
      <c r="GJ147">
        <v>0</v>
      </c>
      <c r="GK147">
        <f>ROUND(R147*(R12)/100,2)</f>
        <v>0</v>
      </c>
      <c r="GL147">
        <f t="shared" si="166"/>
        <v>0</v>
      </c>
      <c r="GM147">
        <f t="shared" si="167"/>
        <v>59829.57</v>
      </c>
      <c r="GN147">
        <f t="shared" si="168"/>
        <v>59829.57</v>
      </c>
      <c r="GO147">
        <f t="shared" si="169"/>
        <v>0</v>
      </c>
      <c r="GP147">
        <f t="shared" si="170"/>
        <v>0</v>
      </c>
      <c r="GR147">
        <v>0</v>
      </c>
      <c r="GS147">
        <v>3</v>
      </c>
      <c r="GT147">
        <v>0</v>
      </c>
      <c r="GU147" t="s">
        <v>3</v>
      </c>
      <c r="GV147">
        <f t="shared" si="171"/>
        <v>0</v>
      </c>
      <c r="GW147">
        <v>1</v>
      </c>
      <c r="GX147">
        <f t="shared" si="172"/>
        <v>0</v>
      </c>
      <c r="HA147">
        <v>0</v>
      </c>
      <c r="HB147">
        <v>0</v>
      </c>
      <c r="HC147">
        <f t="shared" si="173"/>
        <v>0</v>
      </c>
      <c r="HE147" t="s">
        <v>3</v>
      </c>
      <c r="HF147" t="s">
        <v>3</v>
      </c>
      <c r="HM147" t="s">
        <v>3</v>
      </c>
      <c r="HN147" t="s">
        <v>3</v>
      </c>
      <c r="HO147" t="s">
        <v>3</v>
      </c>
      <c r="HP147" t="s">
        <v>3</v>
      </c>
      <c r="HQ147" t="s">
        <v>3</v>
      </c>
      <c r="IK147">
        <v>0</v>
      </c>
    </row>
    <row r="148" spans="1:245" x14ac:dyDescent="0.2">
      <c r="A148">
        <v>18</v>
      </c>
      <c r="B148">
        <v>1</v>
      </c>
      <c r="C148">
        <v>170</v>
      </c>
      <c r="E148" t="s">
        <v>3</v>
      </c>
      <c r="F148" t="s">
        <v>366</v>
      </c>
      <c r="G148" t="s">
        <v>367</v>
      </c>
      <c r="H148" t="s">
        <v>368</v>
      </c>
      <c r="I148">
        <f>I147*J148</f>
        <v>3</v>
      </c>
      <c r="J148">
        <v>5</v>
      </c>
      <c r="K148">
        <v>5</v>
      </c>
      <c r="O148">
        <f t="shared" si="141"/>
        <v>42927.09</v>
      </c>
      <c r="P148">
        <f t="shared" si="142"/>
        <v>42927.09</v>
      </c>
      <c r="Q148">
        <f>(ROUND((ROUND(((ET148)*AV148*I148),2)*BB148),2)+ROUND((ROUND(((AE148-(EU148))*AV148*I148),2)*BS148),2))</f>
        <v>0</v>
      </c>
      <c r="R148">
        <f t="shared" si="143"/>
        <v>0</v>
      </c>
      <c r="S148">
        <f t="shared" si="144"/>
        <v>0</v>
      </c>
      <c r="T148">
        <f t="shared" si="145"/>
        <v>0</v>
      </c>
      <c r="U148">
        <f t="shared" si="146"/>
        <v>0</v>
      </c>
      <c r="V148">
        <f t="shared" si="147"/>
        <v>0</v>
      </c>
      <c r="W148">
        <f t="shared" si="148"/>
        <v>0</v>
      </c>
      <c r="X148">
        <f t="shared" si="149"/>
        <v>0</v>
      </c>
      <c r="Y148">
        <f t="shared" si="150"/>
        <v>0</v>
      </c>
      <c r="AA148">
        <v>-1</v>
      </c>
      <c r="AB148">
        <f t="shared" si="151"/>
        <v>1064.6600000000001</v>
      </c>
      <c r="AC148">
        <f t="shared" si="152"/>
        <v>1064.6600000000001</v>
      </c>
      <c r="AD148">
        <f>ROUND((((ET148)-(EU148))+AE148),6)</f>
        <v>0</v>
      </c>
      <c r="AE148">
        <f>ROUND((EU148),6)</f>
        <v>0</v>
      </c>
      <c r="AF148">
        <f>ROUND((EV148),6)</f>
        <v>0</v>
      </c>
      <c r="AG148">
        <f t="shared" si="153"/>
        <v>0</v>
      </c>
      <c r="AH148">
        <f>(EW148)</f>
        <v>0</v>
      </c>
      <c r="AI148">
        <f>(EX148)</f>
        <v>0</v>
      </c>
      <c r="AJ148">
        <f t="shared" si="154"/>
        <v>0</v>
      </c>
      <c r="AK148">
        <v>1064.6600000000001</v>
      </c>
      <c r="AL148">
        <v>1064.6600000000001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13.44</v>
      </c>
      <c r="BD148" t="s">
        <v>3</v>
      </c>
      <c r="BE148" t="s">
        <v>3</v>
      </c>
      <c r="BF148" t="s">
        <v>3</v>
      </c>
      <c r="BG148" t="s">
        <v>3</v>
      </c>
      <c r="BH148">
        <v>3</v>
      </c>
      <c r="BI148">
        <v>1</v>
      </c>
      <c r="BJ148" t="s">
        <v>369</v>
      </c>
      <c r="BM148">
        <v>66</v>
      </c>
      <c r="BN148">
        <v>36862081</v>
      </c>
      <c r="BO148" t="s">
        <v>366</v>
      </c>
      <c r="BP148">
        <v>1</v>
      </c>
      <c r="BQ148">
        <v>30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0</v>
      </c>
      <c r="CA148">
        <v>0</v>
      </c>
      <c r="CB148" t="s">
        <v>3</v>
      </c>
      <c r="CE148">
        <v>30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155"/>
        <v>42927.09</v>
      </c>
      <c r="CQ148">
        <f t="shared" si="156"/>
        <v>14309.03</v>
      </c>
      <c r="CR148">
        <f>(ROUND((ROUND(((ET148)*AV148*1),2)*BB148),2)+ROUND((ROUND(((AE148-(EU148))*AV148*1),2)*BS148),2))</f>
        <v>0</v>
      </c>
      <c r="CS148">
        <f t="shared" si="157"/>
        <v>0</v>
      </c>
      <c r="CT148">
        <f t="shared" si="158"/>
        <v>0</v>
      </c>
      <c r="CU148">
        <f t="shared" si="159"/>
        <v>0</v>
      </c>
      <c r="CV148">
        <f t="shared" si="160"/>
        <v>0</v>
      </c>
      <c r="CW148">
        <f t="shared" si="161"/>
        <v>0</v>
      </c>
      <c r="CX148">
        <f t="shared" si="162"/>
        <v>0</v>
      </c>
      <c r="CY148">
        <f t="shared" si="163"/>
        <v>0</v>
      </c>
      <c r="CZ148">
        <f t="shared" si="164"/>
        <v>0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91</v>
      </c>
      <c r="DO148">
        <v>70</v>
      </c>
      <c r="DP148">
        <v>1</v>
      </c>
      <c r="DQ148">
        <v>1</v>
      </c>
      <c r="DU148">
        <v>1010</v>
      </c>
      <c r="DV148" t="s">
        <v>368</v>
      </c>
      <c r="DW148" t="s">
        <v>368</v>
      </c>
      <c r="DX148">
        <v>1000</v>
      </c>
      <c r="DZ148" t="s">
        <v>3</v>
      </c>
      <c r="EA148" t="s">
        <v>3</v>
      </c>
      <c r="EB148" t="s">
        <v>3</v>
      </c>
      <c r="EC148" t="s">
        <v>3</v>
      </c>
      <c r="EE148">
        <v>53212815</v>
      </c>
      <c r="EF148">
        <v>30</v>
      </c>
      <c r="EG148" t="s">
        <v>37</v>
      </c>
      <c r="EH148">
        <v>0</v>
      </c>
      <c r="EI148" t="s">
        <v>3</v>
      </c>
      <c r="EJ148">
        <v>1</v>
      </c>
      <c r="EK148">
        <v>66</v>
      </c>
      <c r="EL148" t="s">
        <v>364</v>
      </c>
      <c r="EM148" t="s">
        <v>365</v>
      </c>
      <c r="EO148" t="s">
        <v>3</v>
      </c>
      <c r="EQ148">
        <v>1024</v>
      </c>
      <c r="ER148">
        <v>1064.6600000000001</v>
      </c>
      <c r="ES148">
        <v>1064.6600000000001</v>
      </c>
      <c r="ET148">
        <v>0</v>
      </c>
      <c r="EU148">
        <v>0</v>
      </c>
      <c r="EV148">
        <v>0</v>
      </c>
      <c r="EW148">
        <v>0</v>
      </c>
      <c r="EX148">
        <v>0</v>
      </c>
      <c r="FQ148">
        <v>0</v>
      </c>
      <c r="FR148">
        <f t="shared" si="165"/>
        <v>0</v>
      </c>
      <c r="FS148">
        <v>0</v>
      </c>
      <c r="FX148">
        <v>91</v>
      </c>
      <c r="FY148">
        <v>70</v>
      </c>
      <c r="GA148" t="s">
        <v>3</v>
      </c>
      <c r="GD148">
        <v>0</v>
      </c>
      <c r="GF148">
        <v>1704792949</v>
      </c>
      <c r="GG148">
        <v>2</v>
      </c>
      <c r="GH148">
        <v>1</v>
      </c>
      <c r="GI148">
        <v>2</v>
      </c>
      <c r="GJ148">
        <v>0</v>
      </c>
      <c r="GK148">
        <f>ROUND(R148*(R12)/100,2)</f>
        <v>0</v>
      </c>
      <c r="GL148">
        <f t="shared" si="166"/>
        <v>0</v>
      </c>
      <c r="GM148">
        <f t="shared" si="167"/>
        <v>42927.09</v>
      </c>
      <c r="GN148">
        <f t="shared" si="168"/>
        <v>42927.09</v>
      </c>
      <c r="GO148">
        <f t="shared" si="169"/>
        <v>0</v>
      </c>
      <c r="GP148">
        <f t="shared" si="170"/>
        <v>0</v>
      </c>
      <c r="GR148">
        <v>0</v>
      </c>
      <c r="GS148">
        <v>3</v>
      </c>
      <c r="GT148">
        <v>0</v>
      </c>
      <c r="GU148" t="s">
        <v>3</v>
      </c>
      <c r="GV148">
        <f t="shared" si="171"/>
        <v>0</v>
      </c>
      <c r="GW148">
        <v>1</v>
      </c>
      <c r="GX148">
        <f t="shared" si="172"/>
        <v>0</v>
      </c>
      <c r="HA148">
        <v>0</v>
      </c>
      <c r="HB148">
        <v>0</v>
      </c>
      <c r="HC148">
        <f t="shared" si="173"/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IK148">
        <v>0</v>
      </c>
    </row>
    <row r="149" spans="1:245" x14ac:dyDescent="0.2">
      <c r="A149">
        <v>18</v>
      </c>
      <c r="B149">
        <v>1</v>
      </c>
      <c r="C149">
        <v>171</v>
      </c>
      <c r="E149" t="s">
        <v>3</v>
      </c>
      <c r="F149" t="s">
        <v>78</v>
      </c>
      <c r="G149" t="s">
        <v>265</v>
      </c>
      <c r="H149" t="s">
        <v>70</v>
      </c>
      <c r="I149">
        <f>I147*J149</f>
        <v>1.38</v>
      </c>
      <c r="J149">
        <v>2.2999999999999998</v>
      </c>
      <c r="K149">
        <v>2.2999999999999998</v>
      </c>
      <c r="O149">
        <f t="shared" si="141"/>
        <v>6268.4</v>
      </c>
      <c r="P149">
        <f t="shared" si="142"/>
        <v>6268.4</v>
      </c>
      <c r="Q149">
        <f>(ROUND((ROUND(((ET149)*AV149*I149),2)*BB149),2)+ROUND((ROUND(((AE149-(EU149))*AV149*I149),2)*BS149),2))</f>
        <v>0</v>
      </c>
      <c r="R149">
        <f t="shared" si="143"/>
        <v>0</v>
      </c>
      <c r="S149">
        <f t="shared" si="144"/>
        <v>0</v>
      </c>
      <c r="T149">
        <f t="shared" si="145"/>
        <v>0</v>
      </c>
      <c r="U149">
        <f t="shared" si="146"/>
        <v>0</v>
      </c>
      <c r="V149">
        <f t="shared" si="147"/>
        <v>0</v>
      </c>
      <c r="W149">
        <f t="shared" si="148"/>
        <v>0</v>
      </c>
      <c r="X149">
        <f t="shared" si="149"/>
        <v>0</v>
      </c>
      <c r="Y149">
        <f t="shared" si="150"/>
        <v>0</v>
      </c>
      <c r="AA149">
        <v>-1</v>
      </c>
      <c r="AB149">
        <f t="shared" si="151"/>
        <v>481.69</v>
      </c>
      <c r="AC149">
        <f t="shared" si="152"/>
        <v>481.69</v>
      </c>
      <c r="AD149">
        <f>ROUND((((ET149)-(EU149))+AE149),6)</f>
        <v>0</v>
      </c>
      <c r="AE149">
        <f>ROUND((EU149),6)</f>
        <v>0</v>
      </c>
      <c r="AF149">
        <f>ROUND((EV149),6)</f>
        <v>0</v>
      </c>
      <c r="AG149">
        <f t="shared" si="153"/>
        <v>0</v>
      </c>
      <c r="AH149">
        <f>(EW149)</f>
        <v>0</v>
      </c>
      <c r="AI149">
        <f>(EX149)</f>
        <v>0</v>
      </c>
      <c r="AJ149">
        <f t="shared" si="154"/>
        <v>0</v>
      </c>
      <c r="AK149">
        <v>481.69</v>
      </c>
      <c r="AL149">
        <v>481.69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9.43</v>
      </c>
      <c r="BD149" t="s">
        <v>3</v>
      </c>
      <c r="BE149" t="s">
        <v>3</v>
      </c>
      <c r="BF149" t="s">
        <v>3</v>
      </c>
      <c r="BG149" t="s">
        <v>3</v>
      </c>
      <c r="BH149">
        <v>3</v>
      </c>
      <c r="BI149">
        <v>1</v>
      </c>
      <c r="BJ149" t="s">
        <v>80</v>
      </c>
      <c r="BM149">
        <v>66</v>
      </c>
      <c r="BN149">
        <v>36862081</v>
      </c>
      <c r="BO149" t="s">
        <v>78</v>
      </c>
      <c r="BP149">
        <v>1</v>
      </c>
      <c r="BQ149">
        <v>30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0</v>
      </c>
      <c r="CA149">
        <v>0</v>
      </c>
      <c r="CB149" t="s">
        <v>3</v>
      </c>
      <c r="CE149">
        <v>30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155"/>
        <v>6268.4</v>
      </c>
      <c r="CQ149">
        <f t="shared" si="156"/>
        <v>4542.34</v>
      </c>
      <c r="CR149">
        <f>(ROUND((ROUND(((ET149)*AV149*1),2)*BB149),2)+ROUND((ROUND(((AE149-(EU149))*AV149*1),2)*BS149),2))</f>
        <v>0</v>
      </c>
      <c r="CS149">
        <f t="shared" si="157"/>
        <v>0</v>
      </c>
      <c r="CT149">
        <f t="shared" si="158"/>
        <v>0</v>
      </c>
      <c r="CU149">
        <f t="shared" si="159"/>
        <v>0</v>
      </c>
      <c r="CV149">
        <f t="shared" si="160"/>
        <v>0</v>
      </c>
      <c r="CW149">
        <f t="shared" si="161"/>
        <v>0</v>
      </c>
      <c r="CX149">
        <f t="shared" si="162"/>
        <v>0</v>
      </c>
      <c r="CY149">
        <f t="shared" si="163"/>
        <v>0</v>
      </c>
      <c r="CZ149">
        <f t="shared" si="164"/>
        <v>0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91</v>
      </c>
      <c r="DO149">
        <v>70</v>
      </c>
      <c r="DP149">
        <v>1</v>
      </c>
      <c r="DQ149">
        <v>1</v>
      </c>
      <c r="DU149">
        <v>1007</v>
      </c>
      <c r="DV149" t="s">
        <v>70</v>
      </c>
      <c r="DW149" t="s">
        <v>70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53212815</v>
      </c>
      <c r="EF149">
        <v>30</v>
      </c>
      <c r="EG149" t="s">
        <v>37</v>
      </c>
      <c r="EH149">
        <v>0</v>
      </c>
      <c r="EI149" t="s">
        <v>3</v>
      </c>
      <c r="EJ149">
        <v>1</v>
      </c>
      <c r="EK149">
        <v>66</v>
      </c>
      <c r="EL149" t="s">
        <v>364</v>
      </c>
      <c r="EM149" t="s">
        <v>365</v>
      </c>
      <c r="EO149" t="s">
        <v>3</v>
      </c>
      <c r="EQ149">
        <v>1024</v>
      </c>
      <c r="ER149">
        <v>481.69</v>
      </c>
      <c r="ES149">
        <v>481.69</v>
      </c>
      <c r="ET149">
        <v>0</v>
      </c>
      <c r="EU149">
        <v>0</v>
      </c>
      <c r="EV149">
        <v>0</v>
      </c>
      <c r="EW149">
        <v>0</v>
      </c>
      <c r="EX149">
        <v>0</v>
      </c>
      <c r="FQ149">
        <v>0</v>
      </c>
      <c r="FR149">
        <f t="shared" si="165"/>
        <v>0</v>
      </c>
      <c r="FS149">
        <v>0</v>
      </c>
      <c r="FX149">
        <v>91</v>
      </c>
      <c r="FY149">
        <v>70</v>
      </c>
      <c r="GA149" t="s">
        <v>3</v>
      </c>
      <c r="GD149">
        <v>0</v>
      </c>
      <c r="GF149">
        <v>1935795695</v>
      </c>
      <c r="GG149">
        <v>2</v>
      </c>
      <c r="GH149">
        <v>1</v>
      </c>
      <c r="GI149">
        <v>2</v>
      </c>
      <c r="GJ149">
        <v>0</v>
      </c>
      <c r="GK149">
        <f>ROUND(R149*(R12)/100,2)</f>
        <v>0</v>
      </c>
      <c r="GL149">
        <f t="shared" si="166"/>
        <v>0</v>
      </c>
      <c r="GM149">
        <f t="shared" si="167"/>
        <v>6268.4</v>
      </c>
      <c r="GN149">
        <f t="shared" si="168"/>
        <v>6268.4</v>
      </c>
      <c r="GO149">
        <f t="shared" si="169"/>
        <v>0</v>
      </c>
      <c r="GP149">
        <f t="shared" si="170"/>
        <v>0</v>
      </c>
      <c r="GR149">
        <v>0</v>
      </c>
      <c r="GS149">
        <v>3</v>
      </c>
      <c r="GT149">
        <v>0</v>
      </c>
      <c r="GU149" t="s">
        <v>3</v>
      </c>
      <c r="GV149">
        <f t="shared" si="171"/>
        <v>0</v>
      </c>
      <c r="GW149">
        <v>1</v>
      </c>
      <c r="GX149">
        <f t="shared" si="172"/>
        <v>0</v>
      </c>
      <c r="HA149">
        <v>0</v>
      </c>
      <c r="HB149">
        <v>0</v>
      </c>
      <c r="HC149">
        <f t="shared" si="173"/>
        <v>0</v>
      </c>
      <c r="HE149" t="s">
        <v>3</v>
      </c>
      <c r="HF149" t="s">
        <v>3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IK149">
        <v>0</v>
      </c>
    </row>
    <row r="150" spans="1:245" x14ac:dyDescent="0.2">
      <c r="A150">
        <v>17</v>
      </c>
      <c r="B150">
        <v>1</v>
      </c>
      <c r="C150">
        <f>ROW(SmtRes!A174)</f>
        <v>174</v>
      </c>
      <c r="D150">
        <f>ROW(EtalonRes!A281)</f>
        <v>281</v>
      </c>
      <c r="E150" t="s">
        <v>3</v>
      </c>
      <c r="F150" t="s">
        <v>370</v>
      </c>
      <c r="G150" t="s">
        <v>371</v>
      </c>
      <c r="H150" t="s">
        <v>63</v>
      </c>
      <c r="I150">
        <f>ROUND(60/100,9)</f>
        <v>0.6</v>
      </c>
      <c r="J150">
        <v>0</v>
      </c>
      <c r="K150">
        <f>ROUND(60/100,9)</f>
        <v>0.6</v>
      </c>
      <c r="O150">
        <f t="shared" si="141"/>
        <v>98296.04</v>
      </c>
      <c r="P150">
        <f t="shared" si="142"/>
        <v>65139.17</v>
      </c>
      <c r="Q150">
        <f>(ROUND((ROUND((((ET150*1.25))*AV150*I150),2)*BB150),2)+ROUND((ROUND(((AE150-((EU150*1.25)))*AV150*I150),2)*BS150),2))</f>
        <v>1086.82</v>
      </c>
      <c r="R150">
        <f t="shared" si="143"/>
        <v>474.08</v>
      </c>
      <c r="S150">
        <f t="shared" si="144"/>
        <v>32070.05</v>
      </c>
      <c r="T150">
        <f t="shared" si="145"/>
        <v>0</v>
      </c>
      <c r="U150">
        <f t="shared" si="146"/>
        <v>91.77</v>
      </c>
      <c r="V150">
        <f t="shared" si="147"/>
        <v>0</v>
      </c>
      <c r="W150">
        <f t="shared" si="148"/>
        <v>0</v>
      </c>
      <c r="X150">
        <f t="shared" si="149"/>
        <v>26618.14</v>
      </c>
      <c r="Y150">
        <f t="shared" si="150"/>
        <v>13148.72</v>
      </c>
      <c r="AA150">
        <v>-1</v>
      </c>
      <c r="AB150">
        <f t="shared" si="151"/>
        <v>5710.4844999999996</v>
      </c>
      <c r="AC150">
        <f t="shared" si="152"/>
        <v>3797.31</v>
      </c>
      <c r="AD150">
        <f>ROUND(((((ET150*1.25))-((EU150*1.25)))+AE150),6)</f>
        <v>137.42500000000001</v>
      </c>
      <c r="AE150">
        <f>ROUND(((EU150*1.25)),6)</f>
        <v>26.25</v>
      </c>
      <c r="AF150">
        <f>ROUND(((EV150*1.15)),6)</f>
        <v>1775.7494999999999</v>
      </c>
      <c r="AG150">
        <f t="shared" si="153"/>
        <v>0</v>
      </c>
      <c r="AH150">
        <f>((EW150*1.15))</f>
        <v>152.94999999999999</v>
      </c>
      <c r="AI150">
        <f>((EX150*1.25))</f>
        <v>0</v>
      </c>
      <c r="AJ150">
        <f t="shared" si="154"/>
        <v>0</v>
      </c>
      <c r="AK150">
        <v>5451.38</v>
      </c>
      <c r="AL150">
        <v>3797.31</v>
      </c>
      <c r="AM150">
        <v>109.94</v>
      </c>
      <c r="AN150">
        <v>21</v>
      </c>
      <c r="AO150">
        <v>1544.13</v>
      </c>
      <c r="AP150">
        <v>0</v>
      </c>
      <c r="AQ150">
        <v>133</v>
      </c>
      <c r="AR150">
        <v>0</v>
      </c>
      <c r="AS150">
        <v>0</v>
      </c>
      <c r="AT150">
        <v>83</v>
      </c>
      <c r="AU150">
        <v>41</v>
      </c>
      <c r="AV150">
        <v>1</v>
      </c>
      <c r="AW150">
        <v>1</v>
      </c>
      <c r="AZ150">
        <v>1</v>
      </c>
      <c r="BA150">
        <v>30.1</v>
      </c>
      <c r="BB150">
        <v>13.18</v>
      </c>
      <c r="BC150">
        <v>28.59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1</v>
      </c>
      <c r="BJ150" t="s">
        <v>372</v>
      </c>
      <c r="BM150">
        <v>115</v>
      </c>
      <c r="BN150">
        <v>36862081</v>
      </c>
      <c r="BO150" t="s">
        <v>370</v>
      </c>
      <c r="BP150">
        <v>1</v>
      </c>
      <c r="BQ150">
        <v>30</v>
      </c>
      <c r="BR150">
        <v>0</v>
      </c>
      <c r="BS150">
        <v>30.1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83</v>
      </c>
      <c r="CA150">
        <v>41</v>
      </c>
      <c r="CB150" t="s">
        <v>3</v>
      </c>
      <c r="CE150">
        <v>30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155"/>
        <v>98296.040000000008</v>
      </c>
      <c r="CQ150">
        <f t="shared" si="156"/>
        <v>108565.09</v>
      </c>
      <c r="CR150">
        <f>(ROUND((ROUND((((ET150*1.25))*AV150*1),2)*BB150),2)+ROUND((ROUND(((AE150-((EU150*1.25)))*AV150*1),2)*BS150),2))</f>
        <v>1811.33</v>
      </c>
      <c r="CS150">
        <f t="shared" si="157"/>
        <v>790.13</v>
      </c>
      <c r="CT150">
        <f t="shared" si="158"/>
        <v>53450.080000000002</v>
      </c>
      <c r="CU150">
        <f t="shared" si="159"/>
        <v>0</v>
      </c>
      <c r="CV150">
        <f t="shared" si="160"/>
        <v>152.94999999999999</v>
      </c>
      <c r="CW150">
        <f t="shared" si="161"/>
        <v>0</v>
      </c>
      <c r="CX150">
        <f t="shared" si="162"/>
        <v>0</v>
      </c>
      <c r="CY150">
        <f t="shared" si="163"/>
        <v>26618.141499999998</v>
      </c>
      <c r="CZ150">
        <f t="shared" si="164"/>
        <v>13148.720499999999</v>
      </c>
      <c r="DC150" t="s">
        <v>3</v>
      </c>
      <c r="DD150" t="s">
        <v>3</v>
      </c>
      <c r="DE150" t="s">
        <v>51</v>
      </c>
      <c r="DF150" t="s">
        <v>51</v>
      </c>
      <c r="DG150" t="s">
        <v>52</v>
      </c>
      <c r="DH150" t="s">
        <v>3</v>
      </c>
      <c r="DI150" t="s">
        <v>52</v>
      </c>
      <c r="DJ150" t="s">
        <v>51</v>
      </c>
      <c r="DK150" t="s">
        <v>3</v>
      </c>
      <c r="DL150" t="s">
        <v>3</v>
      </c>
      <c r="DM150" t="s">
        <v>3</v>
      </c>
      <c r="DN150">
        <v>100</v>
      </c>
      <c r="DO150">
        <v>64</v>
      </c>
      <c r="DP150">
        <v>1</v>
      </c>
      <c r="DQ150">
        <v>1</v>
      </c>
      <c r="DU150">
        <v>1013</v>
      </c>
      <c r="DV150" t="s">
        <v>63</v>
      </c>
      <c r="DW150" t="s">
        <v>63</v>
      </c>
      <c r="DX150">
        <v>1</v>
      </c>
      <c r="DZ150" t="s">
        <v>3</v>
      </c>
      <c r="EA150" t="s">
        <v>3</v>
      </c>
      <c r="EB150" t="s">
        <v>3</v>
      </c>
      <c r="EC150" t="s">
        <v>3</v>
      </c>
      <c r="EE150">
        <v>53212864</v>
      </c>
      <c r="EF150">
        <v>30</v>
      </c>
      <c r="EG150" t="s">
        <v>37</v>
      </c>
      <c r="EH150">
        <v>0</v>
      </c>
      <c r="EI150" t="s">
        <v>3</v>
      </c>
      <c r="EJ150">
        <v>1</v>
      </c>
      <c r="EK150">
        <v>115</v>
      </c>
      <c r="EL150" t="s">
        <v>65</v>
      </c>
      <c r="EM150" t="s">
        <v>66</v>
      </c>
      <c r="EO150" t="s">
        <v>3</v>
      </c>
      <c r="EQ150">
        <v>132096</v>
      </c>
      <c r="ER150">
        <v>5451.38</v>
      </c>
      <c r="ES150">
        <v>3797.31</v>
      </c>
      <c r="ET150">
        <v>109.94</v>
      </c>
      <c r="EU150">
        <v>21</v>
      </c>
      <c r="EV150">
        <v>1544.13</v>
      </c>
      <c r="EW150">
        <v>133</v>
      </c>
      <c r="EX150">
        <v>0</v>
      </c>
      <c r="EY150">
        <v>0</v>
      </c>
      <c r="FQ150">
        <v>0</v>
      </c>
      <c r="FR150">
        <f t="shared" si="165"/>
        <v>0</v>
      </c>
      <c r="FS150">
        <v>0</v>
      </c>
      <c r="FX150">
        <v>100</v>
      </c>
      <c r="FY150">
        <v>64</v>
      </c>
      <c r="GA150" t="s">
        <v>3</v>
      </c>
      <c r="GD150">
        <v>0</v>
      </c>
      <c r="GF150">
        <v>1315943694</v>
      </c>
      <c r="GG150">
        <v>2</v>
      </c>
      <c r="GH150">
        <v>1</v>
      </c>
      <c r="GI150">
        <v>2</v>
      </c>
      <c r="GJ150">
        <v>0</v>
      </c>
      <c r="GK150">
        <f>ROUND(R150*(R12)/100,2)</f>
        <v>758.53</v>
      </c>
      <c r="GL150">
        <f t="shared" si="166"/>
        <v>0</v>
      </c>
      <c r="GM150">
        <f t="shared" si="167"/>
        <v>138821.43</v>
      </c>
      <c r="GN150">
        <f t="shared" si="168"/>
        <v>138821.43</v>
      </c>
      <c r="GO150">
        <f t="shared" si="169"/>
        <v>0</v>
      </c>
      <c r="GP150">
        <f t="shared" si="170"/>
        <v>0</v>
      </c>
      <c r="GR150">
        <v>0</v>
      </c>
      <c r="GS150">
        <v>3</v>
      </c>
      <c r="GT150">
        <v>0</v>
      </c>
      <c r="GU150" t="s">
        <v>3</v>
      </c>
      <c r="GV150">
        <f t="shared" si="171"/>
        <v>0</v>
      </c>
      <c r="GW150">
        <v>1</v>
      </c>
      <c r="GX150">
        <f t="shared" si="172"/>
        <v>0</v>
      </c>
      <c r="HA150">
        <v>0</v>
      </c>
      <c r="HB150">
        <v>0</v>
      </c>
      <c r="HC150">
        <f t="shared" si="173"/>
        <v>0</v>
      </c>
      <c r="HE150" t="s">
        <v>3</v>
      </c>
      <c r="HF150" t="s">
        <v>3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IK150">
        <v>0</v>
      </c>
    </row>
    <row r="151" spans="1:245" x14ac:dyDescent="0.2">
      <c r="A151">
        <v>18</v>
      </c>
      <c r="B151">
        <v>1</v>
      </c>
      <c r="C151">
        <v>172</v>
      </c>
      <c r="E151" t="s">
        <v>3</v>
      </c>
      <c r="F151" t="s">
        <v>68</v>
      </c>
      <c r="G151" t="s">
        <v>69</v>
      </c>
      <c r="H151" t="s">
        <v>70</v>
      </c>
      <c r="I151">
        <f>I150*J151</f>
        <v>0.10936800000000001</v>
      </c>
      <c r="J151">
        <v>0.18228000000000003</v>
      </c>
      <c r="K151">
        <v>0.18228</v>
      </c>
      <c r="O151">
        <f t="shared" si="141"/>
        <v>4.62</v>
      </c>
      <c r="P151">
        <f t="shared" si="142"/>
        <v>4.62</v>
      </c>
      <c r="Q151">
        <f>(ROUND((ROUND(((ET151)*AV151*I151),2)*BB151),2)+ROUND((ROUND(((AE151-(EU151))*AV151*I151),2)*BS151),2))</f>
        <v>0</v>
      </c>
      <c r="R151">
        <f t="shared" si="143"/>
        <v>0</v>
      </c>
      <c r="S151">
        <f t="shared" si="144"/>
        <v>0</v>
      </c>
      <c r="T151">
        <f t="shared" si="145"/>
        <v>0</v>
      </c>
      <c r="U151">
        <f t="shared" si="146"/>
        <v>0</v>
      </c>
      <c r="V151">
        <f t="shared" si="147"/>
        <v>0</v>
      </c>
      <c r="W151">
        <f t="shared" si="148"/>
        <v>0</v>
      </c>
      <c r="X151">
        <f t="shared" si="149"/>
        <v>0</v>
      </c>
      <c r="Y151">
        <f t="shared" si="150"/>
        <v>0</v>
      </c>
      <c r="AA151">
        <v>-1</v>
      </c>
      <c r="AB151">
        <f t="shared" si="151"/>
        <v>7.07</v>
      </c>
      <c r="AC151">
        <f t="shared" si="152"/>
        <v>7.07</v>
      </c>
      <c r="AD151">
        <f>ROUND((((ET151)-(EU151))+AE151),6)</f>
        <v>0</v>
      </c>
      <c r="AE151">
        <f t="shared" ref="AE151:AF153" si="178">ROUND((EU151),6)</f>
        <v>0</v>
      </c>
      <c r="AF151">
        <f t="shared" si="178"/>
        <v>0</v>
      </c>
      <c r="AG151">
        <f t="shared" si="153"/>
        <v>0</v>
      </c>
      <c r="AH151">
        <f t="shared" ref="AH151:AI153" si="179">(EW151)</f>
        <v>0</v>
      </c>
      <c r="AI151">
        <f t="shared" si="179"/>
        <v>0</v>
      </c>
      <c r="AJ151">
        <f t="shared" si="154"/>
        <v>0</v>
      </c>
      <c r="AK151">
        <v>7.07</v>
      </c>
      <c r="AL151">
        <v>7.07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6</v>
      </c>
      <c r="BD151" t="s">
        <v>3</v>
      </c>
      <c r="BE151" t="s">
        <v>3</v>
      </c>
      <c r="BF151" t="s">
        <v>3</v>
      </c>
      <c r="BG151" t="s">
        <v>3</v>
      </c>
      <c r="BH151">
        <v>3</v>
      </c>
      <c r="BI151">
        <v>1</v>
      </c>
      <c r="BJ151" t="s">
        <v>71</v>
      </c>
      <c r="BM151">
        <v>115</v>
      </c>
      <c r="BN151">
        <v>36862081</v>
      </c>
      <c r="BO151" t="s">
        <v>68</v>
      </c>
      <c r="BP151">
        <v>1</v>
      </c>
      <c r="BQ151">
        <v>30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0</v>
      </c>
      <c r="CA151">
        <v>0</v>
      </c>
      <c r="CB151" t="s">
        <v>3</v>
      </c>
      <c r="CE151">
        <v>30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155"/>
        <v>4.62</v>
      </c>
      <c r="CQ151">
        <f t="shared" si="156"/>
        <v>42.42</v>
      </c>
      <c r="CR151">
        <f>(ROUND((ROUND(((ET151)*AV151*1),2)*BB151),2)+ROUND((ROUND(((AE151-(EU151))*AV151*1),2)*BS151),2))</f>
        <v>0</v>
      </c>
      <c r="CS151">
        <f t="shared" si="157"/>
        <v>0</v>
      </c>
      <c r="CT151">
        <f t="shared" si="158"/>
        <v>0</v>
      </c>
      <c r="CU151">
        <f t="shared" si="159"/>
        <v>0</v>
      </c>
      <c r="CV151">
        <f t="shared" si="160"/>
        <v>0</v>
      </c>
      <c r="CW151">
        <f t="shared" si="161"/>
        <v>0</v>
      </c>
      <c r="CX151">
        <f t="shared" si="162"/>
        <v>0</v>
      </c>
      <c r="CY151">
        <f t="shared" si="163"/>
        <v>0</v>
      </c>
      <c r="CZ151">
        <f t="shared" si="164"/>
        <v>0</v>
      </c>
      <c r="DC151" t="s">
        <v>3</v>
      </c>
      <c r="DD151" t="s">
        <v>3</v>
      </c>
      <c r="DE151" t="s">
        <v>3</v>
      </c>
      <c r="DF151" t="s">
        <v>3</v>
      </c>
      <c r="DG151" t="s">
        <v>3</v>
      </c>
      <c r="DH151" t="s">
        <v>3</v>
      </c>
      <c r="DI151" t="s">
        <v>3</v>
      </c>
      <c r="DJ151" t="s">
        <v>3</v>
      </c>
      <c r="DK151" t="s">
        <v>3</v>
      </c>
      <c r="DL151" t="s">
        <v>3</v>
      </c>
      <c r="DM151" t="s">
        <v>3</v>
      </c>
      <c r="DN151">
        <v>100</v>
      </c>
      <c r="DO151">
        <v>64</v>
      </c>
      <c r="DP151">
        <v>1</v>
      </c>
      <c r="DQ151">
        <v>1</v>
      </c>
      <c r="DU151">
        <v>1007</v>
      </c>
      <c r="DV151" t="s">
        <v>70</v>
      </c>
      <c r="DW151" t="s">
        <v>70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53212864</v>
      </c>
      <c r="EF151">
        <v>30</v>
      </c>
      <c r="EG151" t="s">
        <v>37</v>
      </c>
      <c r="EH151">
        <v>0</v>
      </c>
      <c r="EI151" t="s">
        <v>3</v>
      </c>
      <c r="EJ151">
        <v>1</v>
      </c>
      <c r="EK151">
        <v>115</v>
      </c>
      <c r="EL151" t="s">
        <v>65</v>
      </c>
      <c r="EM151" t="s">
        <v>66</v>
      </c>
      <c r="EO151" t="s">
        <v>3</v>
      </c>
      <c r="EQ151">
        <v>1024</v>
      </c>
      <c r="ER151">
        <v>7.07</v>
      </c>
      <c r="ES151">
        <v>7.07</v>
      </c>
      <c r="ET151">
        <v>0</v>
      </c>
      <c r="EU151">
        <v>0</v>
      </c>
      <c r="EV151">
        <v>0</v>
      </c>
      <c r="EW151">
        <v>0</v>
      </c>
      <c r="EX151">
        <v>0</v>
      </c>
      <c r="FQ151">
        <v>0</v>
      </c>
      <c r="FR151">
        <f t="shared" si="165"/>
        <v>0</v>
      </c>
      <c r="FS151">
        <v>0</v>
      </c>
      <c r="FX151">
        <v>100</v>
      </c>
      <c r="FY151">
        <v>64</v>
      </c>
      <c r="GA151" t="s">
        <v>3</v>
      </c>
      <c r="GD151">
        <v>0</v>
      </c>
      <c r="GF151">
        <v>-862991314</v>
      </c>
      <c r="GG151">
        <v>2</v>
      </c>
      <c r="GH151">
        <v>1</v>
      </c>
      <c r="GI151">
        <v>2</v>
      </c>
      <c r="GJ151">
        <v>0</v>
      </c>
      <c r="GK151">
        <f>ROUND(R151*(R12)/100,2)</f>
        <v>0</v>
      </c>
      <c r="GL151">
        <f t="shared" si="166"/>
        <v>0</v>
      </c>
      <c r="GM151">
        <f t="shared" si="167"/>
        <v>4.62</v>
      </c>
      <c r="GN151">
        <f t="shared" si="168"/>
        <v>4.62</v>
      </c>
      <c r="GO151">
        <f t="shared" si="169"/>
        <v>0</v>
      </c>
      <c r="GP151">
        <f t="shared" si="170"/>
        <v>0</v>
      </c>
      <c r="GR151">
        <v>0</v>
      </c>
      <c r="GS151">
        <v>3</v>
      </c>
      <c r="GT151">
        <v>0</v>
      </c>
      <c r="GU151" t="s">
        <v>3</v>
      </c>
      <c r="GV151">
        <f t="shared" si="171"/>
        <v>0</v>
      </c>
      <c r="GW151">
        <v>1</v>
      </c>
      <c r="GX151">
        <f t="shared" si="172"/>
        <v>0</v>
      </c>
      <c r="HA151">
        <v>0</v>
      </c>
      <c r="HB151">
        <v>0</v>
      </c>
      <c r="HC151">
        <f t="shared" si="173"/>
        <v>0</v>
      </c>
      <c r="HE151" t="s">
        <v>3</v>
      </c>
      <c r="HF151" t="s">
        <v>3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IK151">
        <v>0</v>
      </c>
    </row>
    <row r="152" spans="1:245" x14ac:dyDescent="0.2">
      <c r="A152">
        <v>18</v>
      </c>
      <c r="B152">
        <v>1</v>
      </c>
      <c r="C152">
        <v>174</v>
      </c>
      <c r="E152" t="s">
        <v>3</v>
      </c>
      <c r="F152" t="s">
        <v>73</v>
      </c>
      <c r="G152" t="s">
        <v>263</v>
      </c>
      <c r="H152" t="s">
        <v>75</v>
      </c>
      <c r="I152">
        <f>I150*J152</f>
        <v>0.62496000000000007</v>
      </c>
      <c r="J152">
        <v>1.0416000000000001</v>
      </c>
      <c r="K152">
        <v>1.0416000000000001</v>
      </c>
      <c r="O152">
        <f t="shared" si="141"/>
        <v>6990.37</v>
      </c>
      <c r="P152">
        <f t="shared" si="142"/>
        <v>6990.37</v>
      </c>
      <c r="Q152">
        <f>(ROUND((ROUND(((ET152)*AV152*I152),2)*BB152),2)+ROUND((ROUND(((AE152-(EU152))*AV152*I152),2)*BS152),2))</f>
        <v>0</v>
      </c>
      <c r="R152">
        <f t="shared" si="143"/>
        <v>0</v>
      </c>
      <c r="S152">
        <f t="shared" si="144"/>
        <v>0</v>
      </c>
      <c r="T152">
        <f t="shared" si="145"/>
        <v>0</v>
      </c>
      <c r="U152">
        <f t="shared" si="146"/>
        <v>0</v>
      </c>
      <c r="V152">
        <f t="shared" si="147"/>
        <v>0</v>
      </c>
      <c r="W152">
        <f t="shared" si="148"/>
        <v>0</v>
      </c>
      <c r="X152">
        <f t="shared" si="149"/>
        <v>0</v>
      </c>
      <c r="Y152">
        <f t="shared" si="150"/>
        <v>0</v>
      </c>
      <c r="AA152">
        <v>-1</v>
      </c>
      <c r="AB152">
        <f t="shared" si="151"/>
        <v>1517.68</v>
      </c>
      <c r="AC152">
        <f t="shared" si="152"/>
        <v>1517.68</v>
      </c>
      <c r="AD152">
        <f>ROUND((((ET152)-(EU152))+AE152),6)</f>
        <v>0</v>
      </c>
      <c r="AE152">
        <f t="shared" si="178"/>
        <v>0</v>
      </c>
      <c r="AF152">
        <f t="shared" si="178"/>
        <v>0</v>
      </c>
      <c r="AG152">
        <f t="shared" si="153"/>
        <v>0</v>
      </c>
      <c r="AH152">
        <f t="shared" si="179"/>
        <v>0</v>
      </c>
      <c r="AI152">
        <f t="shared" si="179"/>
        <v>0</v>
      </c>
      <c r="AJ152">
        <f t="shared" si="154"/>
        <v>0</v>
      </c>
      <c r="AK152">
        <v>1517.68</v>
      </c>
      <c r="AL152">
        <v>1517.68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7.37</v>
      </c>
      <c r="BD152" t="s">
        <v>3</v>
      </c>
      <c r="BE152" t="s">
        <v>3</v>
      </c>
      <c r="BF152" t="s">
        <v>3</v>
      </c>
      <c r="BG152" t="s">
        <v>3</v>
      </c>
      <c r="BH152">
        <v>3</v>
      </c>
      <c r="BI152">
        <v>1</v>
      </c>
      <c r="BJ152" t="s">
        <v>76</v>
      </c>
      <c r="BM152">
        <v>115</v>
      </c>
      <c r="BN152">
        <v>36862081</v>
      </c>
      <c r="BO152" t="s">
        <v>73</v>
      </c>
      <c r="BP152">
        <v>1</v>
      </c>
      <c r="BQ152">
        <v>30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0</v>
      </c>
      <c r="CA152">
        <v>0</v>
      </c>
      <c r="CB152" t="s">
        <v>3</v>
      </c>
      <c r="CE152">
        <v>30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155"/>
        <v>6990.37</v>
      </c>
      <c r="CQ152">
        <f t="shared" si="156"/>
        <v>11185.3</v>
      </c>
      <c r="CR152">
        <f>(ROUND((ROUND(((ET152)*AV152*1),2)*BB152),2)+ROUND((ROUND(((AE152-(EU152))*AV152*1),2)*BS152),2))</f>
        <v>0</v>
      </c>
      <c r="CS152">
        <f t="shared" si="157"/>
        <v>0</v>
      </c>
      <c r="CT152">
        <f t="shared" si="158"/>
        <v>0</v>
      </c>
      <c r="CU152">
        <f t="shared" si="159"/>
        <v>0</v>
      </c>
      <c r="CV152">
        <f t="shared" si="160"/>
        <v>0</v>
      </c>
      <c r="CW152">
        <f t="shared" si="161"/>
        <v>0</v>
      </c>
      <c r="CX152">
        <f t="shared" si="162"/>
        <v>0</v>
      </c>
      <c r="CY152">
        <f t="shared" si="163"/>
        <v>0</v>
      </c>
      <c r="CZ152">
        <f t="shared" si="164"/>
        <v>0</v>
      </c>
      <c r="DC152" t="s">
        <v>3</v>
      </c>
      <c r="DD152" t="s">
        <v>3</v>
      </c>
      <c r="DE152" t="s">
        <v>3</v>
      </c>
      <c r="DF152" t="s">
        <v>3</v>
      </c>
      <c r="DG152" t="s">
        <v>3</v>
      </c>
      <c r="DH152" t="s">
        <v>3</v>
      </c>
      <c r="DI152" t="s">
        <v>3</v>
      </c>
      <c r="DJ152" t="s">
        <v>3</v>
      </c>
      <c r="DK152" t="s">
        <v>3</v>
      </c>
      <c r="DL152" t="s">
        <v>3</v>
      </c>
      <c r="DM152" t="s">
        <v>3</v>
      </c>
      <c r="DN152">
        <v>100</v>
      </c>
      <c r="DO152">
        <v>64</v>
      </c>
      <c r="DP152">
        <v>1</v>
      </c>
      <c r="DQ152">
        <v>1</v>
      </c>
      <c r="DU152">
        <v>1009</v>
      </c>
      <c r="DV152" t="s">
        <v>75</v>
      </c>
      <c r="DW152" t="s">
        <v>75</v>
      </c>
      <c r="DX152">
        <v>1000</v>
      </c>
      <c r="DZ152" t="s">
        <v>3</v>
      </c>
      <c r="EA152" t="s">
        <v>3</v>
      </c>
      <c r="EB152" t="s">
        <v>3</v>
      </c>
      <c r="EC152" t="s">
        <v>3</v>
      </c>
      <c r="EE152">
        <v>53212864</v>
      </c>
      <c r="EF152">
        <v>30</v>
      </c>
      <c r="EG152" t="s">
        <v>37</v>
      </c>
      <c r="EH152">
        <v>0</v>
      </c>
      <c r="EI152" t="s">
        <v>3</v>
      </c>
      <c r="EJ152">
        <v>1</v>
      </c>
      <c r="EK152">
        <v>115</v>
      </c>
      <c r="EL152" t="s">
        <v>65</v>
      </c>
      <c r="EM152" t="s">
        <v>66</v>
      </c>
      <c r="EO152" t="s">
        <v>3</v>
      </c>
      <c r="EQ152">
        <v>1024</v>
      </c>
      <c r="ER152">
        <v>1517.68</v>
      </c>
      <c r="ES152">
        <v>1517.68</v>
      </c>
      <c r="ET152">
        <v>0</v>
      </c>
      <c r="EU152">
        <v>0</v>
      </c>
      <c r="EV152">
        <v>0</v>
      </c>
      <c r="EW152">
        <v>0</v>
      </c>
      <c r="EX152">
        <v>0</v>
      </c>
      <c r="FQ152">
        <v>0</v>
      </c>
      <c r="FR152">
        <f t="shared" si="165"/>
        <v>0</v>
      </c>
      <c r="FS152">
        <v>0</v>
      </c>
      <c r="FX152">
        <v>100</v>
      </c>
      <c r="FY152">
        <v>64</v>
      </c>
      <c r="GA152" t="s">
        <v>3</v>
      </c>
      <c r="GD152">
        <v>0</v>
      </c>
      <c r="GF152">
        <v>-1764562027</v>
      </c>
      <c r="GG152">
        <v>2</v>
      </c>
      <c r="GH152">
        <v>1</v>
      </c>
      <c r="GI152">
        <v>2</v>
      </c>
      <c r="GJ152">
        <v>0</v>
      </c>
      <c r="GK152">
        <f>ROUND(R152*(R12)/100,2)</f>
        <v>0</v>
      </c>
      <c r="GL152">
        <f t="shared" si="166"/>
        <v>0</v>
      </c>
      <c r="GM152">
        <f t="shared" si="167"/>
        <v>6990.37</v>
      </c>
      <c r="GN152">
        <f t="shared" si="168"/>
        <v>6990.37</v>
      </c>
      <c r="GO152">
        <f t="shared" si="169"/>
        <v>0</v>
      </c>
      <c r="GP152">
        <f t="shared" si="170"/>
        <v>0</v>
      </c>
      <c r="GR152">
        <v>0</v>
      </c>
      <c r="GS152">
        <v>3</v>
      </c>
      <c r="GT152">
        <v>0</v>
      </c>
      <c r="GU152" t="s">
        <v>3</v>
      </c>
      <c r="GV152">
        <f t="shared" si="171"/>
        <v>0</v>
      </c>
      <c r="GW152">
        <v>1</v>
      </c>
      <c r="GX152">
        <f t="shared" si="172"/>
        <v>0</v>
      </c>
      <c r="HA152">
        <v>0</v>
      </c>
      <c r="HB152">
        <v>0</v>
      </c>
      <c r="HC152">
        <f t="shared" si="173"/>
        <v>0</v>
      </c>
      <c r="HE152" t="s">
        <v>3</v>
      </c>
      <c r="HF152" t="s">
        <v>3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IK152">
        <v>0</v>
      </c>
    </row>
    <row r="153" spans="1:245" x14ac:dyDescent="0.2">
      <c r="A153">
        <v>18</v>
      </c>
      <c r="B153">
        <v>1</v>
      </c>
      <c r="C153">
        <v>173</v>
      </c>
      <c r="E153" t="s">
        <v>3</v>
      </c>
      <c r="F153" t="s">
        <v>78</v>
      </c>
      <c r="G153" t="s">
        <v>265</v>
      </c>
      <c r="H153" t="s">
        <v>70</v>
      </c>
      <c r="I153">
        <f>I150*J153</f>
        <v>1.5624</v>
      </c>
      <c r="J153">
        <v>2.6040000000000001</v>
      </c>
      <c r="K153">
        <v>2.6040000000000001</v>
      </c>
      <c r="O153">
        <f t="shared" si="141"/>
        <v>7096.92</v>
      </c>
      <c r="P153">
        <f t="shared" si="142"/>
        <v>7096.92</v>
      </c>
      <c r="Q153">
        <f>(ROUND((ROUND(((ET153)*AV153*I153),2)*BB153),2)+ROUND((ROUND(((AE153-(EU153))*AV153*I153),2)*BS153),2))</f>
        <v>0</v>
      </c>
      <c r="R153">
        <f t="shared" si="143"/>
        <v>0</v>
      </c>
      <c r="S153">
        <f t="shared" si="144"/>
        <v>0</v>
      </c>
      <c r="T153">
        <f t="shared" si="145"/>
        <v>0</v>
      </c>
      <c r="U153">
        <f t="shared" si="146"/>
        <v>0</v>
      </c>
      <c r="V153">
        <f t="shared" si="147"/>
        <v>0</v>
      </c>
      <c r="W153">
        <f t="shared" si="148"/>
        <v>0</v>
      </c>
      <c r="X153">
        <f t="shared" si="149"/>
        <v>0</v>
      </c>
      <c r="Y153">
        <f t="shared" si="150"/>
        <v>0</v>
      </c>
      <c r="AA153">
        <v>-1</v>
      </c>
      <c r="AB153">
        <f t="shared" si="151"/>
        <v>481.69</v>
      </c>
      <c r="AC153">
        <f t="shared" si="152"/>
        <v>481.69</v>
      </c>
      <c r="AD153">
        <f>ROUND((((ET153)-(EU153))+AE153),6)</f>
        <v>0</v>
      </c>
      <c r="AE153">
        <f t="shared" si="178"/>
        <v>0</v>
      </c>
      <c r="AF153">
        <f t="shared" si="178"/>
        <v>0</v>
      </c>
      <c r="AG153">
        <f t="shared" si="153"/>
        <v>0</v>
      </c>
      <c r="AH153">
        <f t="shared" si="179"/>
        <v>0</v>
      </c>
      <c r="AI153">
        <f t="shared" si="179"/>
        <v>0</v>
      </c>
      <c r="AJ153">
        <f t="shared" si="154"/>
        <v>0</v>
      </c>
      <c r="AK153">
        <v>481.69</v>
      </c>
      <c r="AL153">
        <v>481.69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9.43</v>
      </c>
      <c r="BD153" t="s">
        <v>3</v>
      </c>
      <c r="BE153" t="s">
        <v>3</v>
      </c>
      <c r="BF153" t="s">
        <v>3</v>
      </c>
      <c r="BG153" t="s">
        <v>3</v>
      </c>
      <c r="BH153">
        <v>3</v>
      </c>
      <c r="BI153">
        <v>1</v>
      </c>
      <c r="BJ153" t="s">
        <v>80</v>
      </c>
      <c r="BM153">
        <v>115</v>
      </c>
      <c r="BN153">
        <v>36862081</v>
      </c>
      <c r="BO153" t="s">
        <v>78</v>
      </c>
      <c r="BP153">
        <v>1</v>
      </c>
      <c r="BQ153">
        <v>30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0</v>
      </c>
      <c r="CA153">
        <v>0</v>
      </c>
      <c r="CB153" t="s">
        <v>3</v>
      </c>
      <c r="CE153">
        <v>30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155"/>
        <v>7096.92</v>
      </c>
      <c r="CQ153">
        <f t="shared" si="156"/>
        <v>4542.34</v>
      </c>
      <c r="CR153">
        <f>(ROUND((ROUND(((ET153)*AV153*1),2)*BB153),2)+ROUND((ROUND(((AE153-(EU153))*AV153*1),2)*BS153),2))</f>
        <v>0</v>
      </c>
      <c r="CS153">
        <f t="shared" si="157"/>
        <v>0</v>
      </c>
      <c r="CT153">
        <f t="shared" si="158"/>
        <v>0</v>
      </c>
      <c r="CU153">
        <f t="shared" si="159"/>
        <v>0</v>
      </c>
      <c r="CV153">
        <f t="shared" si="160"/>
        <v>0</v>
      </c>
      <c r="CW153">
        <f t="shared" si="161"/>
        <v>0</v>
      </c>
      <c r="CX153">
        <f t="shared" si="162"/>
        <v>0</v>
      </c>
      <c r="CY153">
        <f t="shared" si="163"/>
        <v>0</v>
      </c>
      <c r="CZ153">
        <f t="shared" si="164"/>
        <v>0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100</v>
      </c>
      <c r="DO153">
        <v>64</v>
      </c>
      <c r="DP153">
        <v>1</v>
      </c>
      <c r="DQ153">
        <v>1</v>
      </c>
      <c r="DU153">
        <v>1007</v>
      </c>
      <c r="DV153" t="s">
        <v>70</v>
      </c>
      <c r="DW153" t="s">
        <v>70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53212864</v>
      </c>
      <c r="EF153">
        <v>30</v>
      </c>
      <c r="EG153" t="s">
        <v>37</v>
      </c>
      <c r="EH153">
        <v>0</v>
      </c>
      <c r="EI153" t="s">
        <v>3</v>
      </c>
      <c r="EJ153">
        <v>1</v>
      </c>
      <c r="EK153">
        <v>115</v>
      </c>
      <c r="EL153" t="s">
        <v>65</v>
      </c>
      <c r="EM153" t="s">
        <v>66</v>
      </c>
      <c r="EO153" t="s">
        <v>3</v>
      </c>
      <c r="EQ153">
        <v>1024</v>
      </c>
      <c r="ER153">
        <v>481.69</v>
      </c>
      <c r="ES153">
        <v>481.69</v>
      </c>
      <c r="ET153">
        <v>0</v>
      </c>
      <c r="EU153">
        <v>0</v>
      </c>
      <c r="EV153">
        <v>0</v>
      </c>
      <c r="EW153">
        <v>0</v>
      </c>
      <c r="EX153">
        <v>0</v>
      </c>
      <c r="FQ153">
        <v>0</v>
      </c>
      <c r="FR153">
        <f t="shared" si="165"/>
        <v>0</v>
      </c>
      <c r="FS153">
        <v>0</v>
      </c>
      <c r="FX153">
        <v>100</v>
      </c>
      <c r="FY153">
        <v>64</v>
      </c>
      <c r="GA153" t="s">
        <v>3</v>
      </c>
      <c r="GD153">
        <v>0</v>
      </c>
      <c r="GF153">
        <v>1935795695</v>
      </c>
      <c r="GG153">
        <v>2</v>
      </c>
      <c r="GH153">
        <v>1</v>
      </c>
      <c r="GI153">
        <v>2</v>
      </c>
      <c r="GJ153">
        <v>0</v>
      </c>
      <c r="GK153">
        <f>ROUND(R153*(R12)/100,2)</f>
        <v>0</v>
      </c>
      <c r="GL153">
        <f t="shared" si="166"/>
        <v>0</v>
      </c>
      <c r="GM153">
        <f t="shared" si="167"/>
        <v>7096.92</v>
      </c>
      <c r="GN153">
        <f t="shared" si="168"/>
        <v>7096.92</v>
      </c>
      <c r="GO153">
        <f t="shared" si="169"/>
        <v>0</v>
      </c>
      <c r="GP153">
        <f t="shared" si="170"/>
        <v>0</v>
      </c>
      <c r="GR153">
        <v>0</v>
      </c>
      <c r="GS153">
        <v>3</v>
      </c>
      <c r="GT153">
        <v>0</v>
      </c>
      <c r="GU153" t="s">
        <v>3</v>
      </c>
      <c r="GV153">
        <f t="shared" si="171"/>
        <v>0</v>
      </c>
      <c r="GW153">
        <v>1</v>
      </c>
      <c r="GX153">
        <f t="shared" si="172"/>
        <v>0</v>
      </c>
      <c r="HA153">
        <v>0</v>
      </c>
      <c r="HB153">
        <v>0</v>
      </c>
      <c r="HC153">
        <f t="shared" si="173"/>
        <v>0</v>
      </c>
      <c r="HE153" t="s">
        <v>3</v>
      </c>
      <c r="HF153" t="s">
        <v>3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IK153">
        <v>0</v>
      </c>
    </row>
    <row r="154" spans="1:245" x14ac:dyDescent="0.2">
      <c r="A154">
        <v>17</v>
      </c>
      <c r="B154">
        <v>1</v>
      </c>
      <c r="C154">
        <f>ROW(SmtRes!A181)</f>
        <v>181</v>
      </c>
      <c r="D154">
        <f>ROW(EtalonRes!A288)</f>
        <v>288</v>
      </c>
      <c r="E154" t="s">
        <v>3</v>
      </c>
      <c r="F154" t="s">
        <v>292</v>
      </c>
      <c r="G154" t="s">
        <v>293</v>
      </c>
      <c r="H154" t="s">
        <v>28</v>
      </c>
      <c r="I154">
        <f>ROUND(60/100,9)</f>
        <v>0.6</v>
      </c>
      <c r="J154">
        <v>0</v>
      </c>
      <c r="K154">
        <f>ROUND(60/100,9)</f>
        <v>0.6</v>
      </c>
      <c r="O154">
        <f t="shared" si="141"/>
        <v>11928.78</v>
      </c>
      <c r="P154">
        <f t="shared" si="142"/>
        <v>1439.07</v>
      </c>
      <c r="Q154">
        <f>(ROUND((ROUND((((ET154*1.25))*AV154*I154),2)*BB154),2)+ROUND((ROUND(((AE154-((EU154*1.25)))*AV154*I154),2)*BS154),2))</f>
        <v>113.04</v>
      </c>
      <c r="R154">
        <f t="shared" si="143"/>
        <v>42.74</v>
      </c>
      <c r="S154">
        <f t="shared" si="144"/>
        <v>10376.67</v>
      </c>
      <c r="T154">
        <f t="shared" si="145"/>
        <v>0</v>
      </c>
      <c r="U154">
        <f t="shared" si="146"/>
        <v>30.0564</v>
      </c>
      <c r="V154">
        <f t="shared" si="147"/>
        <v>0</v>
      </c>
      <c r="W154">
        <f t="shared" si="148"/>
        <v>0</v>
      </c>
      <c r="X154">
        <f t="shared" si="149"/>
        <v>8612.64</v>
      </c>
      <c r="Y154">
        <f t="shared" si="150"/>
        <v>4254.43</v>
      </c>
      <c r="AA154">
        <v>-1</v>
      </c>
      <c r="AB154">
        <f t="shared" si="151"/>
        <v>1389.652</v>
      </c>
      <c r="AC154">
        <f t="shared" si="152"/>
        <v>799.49</v>
      </c>
      <c r="AD154">
        <f>ROUND(((((ET154*1.25))-((EU154*1.25)))+AE154),6)</f>
        <v>15.5875</v>
      </c>
      <c r="AE154">
        <f>ROUND(((EU154*1.25)),6)</f>
        <v>2.3624999999999998</v>
      </c>
      <c r="AF154">
        <f>ROUND(((EV154*1.15)),6)</f>
        <v>574.57449999999994</v>
      </c>
      <c r="AG154">
        <f t="shared" si="153"/>
        <v>0</v>
      </c>
      <c r="AH154">
        <f>((EW154*1.15))</f>
        <v>50.094000000000001</v>
      </c>
      <c r="AI154">
        <f>((EX154*1.25))</f>
        <v>0</v>
      </c>
      <c r="AJ154">
        <f t="shared" si="154"/>
        <v>0</v>
      </c>
      <c r="AK154">
        <v>1311.59</v>
      </c>
      <c r="AL154">
        <v>799.49</v>
      </c>
      <c r="AM154">
        <v>12.47</v>
      </c>
      <c r="AN154">
        <v>1.89</v>
      </c>
      <c r="AO154">
        <v>499.63</v>
      </c>
      <c r="AP154">
        <v>0</v>
      </c>
      <c r="AQ154">
        <v>43.56</v>
      </c>
      <c r="AR154">
        <v>0</v>
      </c>
      <c r="AS154">
        <v>0</v>
      </c>
      <c r="AT154">
        <v>83</v>
      </c>
      <c r="AU154">
        <v>41</v>
      </c>
      <c r="AV154">
        <v>1</v>
      </c>
      <c r="AW154">
        <v>1</v>
      </c>
      <c r="AZ154">
        <v>1</v>
      </c>
      <c r="BA154">
        <v>30.1</v>
      </c>
      <c r="BB154">
        <v>12.09</v>
      </c>
      <c r="BC154">
        <v>3</v>
      </c>
      <c r="BD154" t="s">
        <v>3</v>
      </c>
      <c r="BE154" t="s">
        <v>3</v>
      </c>
      <c r="BF154" t="s">
        <v>3</v>
      </c>
      <c r="BG154" t="s">
        <v>3</v>
      </c>
      <c r="BH154">
        <v>0</v>
      </c>
      <c r="BI154">
        <v>1</v>
      </c>
      <c r="BJ154" t="s">
        <v>294</v>
      </c>
      <c r="BM154">
        <v>2087</v>
      </c>
      <c r="BN154">
        <v>36862081</v>
      </c>
      <c r="BO154" t="s">
        <v>292</v>
      </c>
      <c r="BP154">
        <v>1</v>
      </c>
      <c r="BQ154">
        <v>30</v>
      </c>
      <c r="BR154">
        <v>0</v>
      </c>
      <c r="BS154">
        <v>30.1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83</v>
      </c>
      <c r="CA154">
        <v>41</v>
      </c>
      <c r="CB154" t="s">
        <v>3</v>
      </c>
      <c r="CE154">
        <v>30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155"/>
        <v>11928.78</v>
      </c>
      <c r="CQ154">
        <f t="shared" si="156"/>
        <v>2398.4699999999998</v>
      </c>
      <c r="CR154">
        <f>(ROUND((ROUND((((ET154*1.25))*AV154*1),2)*BB154),2)+ROUND((ROUND(((AE154-((EU154*1.25)))*AV154*1),2)*BS154),2))</f>
        <v>188.48</v>
      </c>
      <c r="CS154">
        <f t="shared" si="157"/>
        <v>71.040000000000006</v>
      </c>
      <c r="CT154">
        <f t="shared" si="158"/>
        <v>17294.560000000001</v>
      </c>
      <c r="CU154">
        <f t="shared" si="159"/>
        <v>0</v>
      </c>
      <c r="CV154">
        <f t="shared" si="160"/>
        <v>50.094000000000001</v>
      </c>
      <c r="CW154">
        <f t="shared" si="161"/>
        <v>0</v>
      </c>
      <c r="CX154">
        <f t="shared" si="162"/>
        <v>0</v>
      </c>
      <c r="CY154">
        <f t="shared" si="163"/>
        <v>8612.6360999999997</v>
      </c>
      <c r="CZ154">
        <f t="shared" si="164"/>
        <v>4254.4346999999998</v>
      </c>
      <c r="DC154" t="s">
        <v>3</v>
      </c>
      <c r="DD154" t="s">
        <v>3</v>
      </c>
      <c r="DE154" t="s">
        <v>51</v>
      </c>
      <c r="DF154" t="s">
        <v>51</v>
      </c>
      <c r="DG154" t="s">
        <v>52</v>
      </c>
      <c r="DH154" t="s">
        <v>3</v>
      </c>
      <c r="DI154" t="s">
        <v>52</v>
      </c>
      <c r="DJ154" t="s">
        <v>51</v>
      </c>
      <c r="DK154" t="s">
        <v>3</v>
      </c>
      <c r="DL154" t="s">
        <v>3</v>
      </c>
      <c r="DM154" t="s">
        <v>3</v>
      </c>
      <c r="DN154">
        <v>100</v>
      </c>
      <c r="DO154">
        <v>64</v>
      </c>
      <c r="DP154">
        <v>1</v>
      </c>
      <c r="DQ154">
        <v>1</v>
      </c>
      <c r="DU154">
        <v>1005</v>
      </c>
      <c r="DV154" t="s">
        <v>28</v>
      </c>
      <c r="DW154" t="s">
        <v>28</v>
      </c>
      <c r="DX154">
        <v>100</v>
      </c>
      <c r="DZ154" t="s">
        <v>3</v>
      </c>
      <c r="EA154" t="s">
        <v>3</v>
      </c>
      <c r="EB154" t="s">
        <v>3</v>
      </c>
      <c r="EC154" t="s">
        <v>3</v>
      </c>
      <c r="EE154">
        <v>53214868</v>
      </c>
      <c r="EF154">
        <v>30</v>
      </c>
      <c r="EG154" t="s">
        <v>37</v>
      </c>
      <c r="EH154">
        <v>0</v>
      </c>
      <c r="EI154" t="s">
        <v>3</v>
      </c>
      <c r="EJ154">
        <v>1</v>
      </c>
      <c r="EK154">
        <v>2087</v>
      </c>
      <c r="EL154" t="s">
        <v>146</v>
      </c>
      <c r="EM154" t="s">
        <v>147</v>
      </c>
      <c r="EO154" t="s">
        <v>3</v>
      </c>
      <c r="EQ154">
        <v>132096</v>
      </c>
      <c r="ER154">
        <v>1311.59</v>
      </c>
      <c r="ES154">
        <v>799.49</v>
      </c>
      <c r="ET154">
        <v>12.47</v>
      </c>
      <c r="EU154">
        <v>1.89</v>
      </c>
      <c r="EV154">
        <v>499.63</v>
      </c>
      <c r="EW154">
        <v>43.56</v>
      </c>
      <c r="EX154">
        <v>0</v>
      </c>
      <c r="EY154">
        <v>0</v>
      </c>
      <c r="FQ154">
        <v>0</v>
      </c>
      <c r="FR154">
        <f t="shared" si="165"/>
        <v>0</v>
      </c>
      <c r="FS154">
        <v>0</v>
      </c>
      <c r="FX154">
        <v>100</v>
      </c>
      <c r="FY154">
        <v>64</v>
      </c>
      <c r="GA154" t="s">
        <v>3</v>
      </c>
      <c r="GD154">
        <v>0</v>
      </c>
      <c r="GF154">
        <v>-1404964615</v>
      </c>
      <c r="GG154">
        <v>2</v>
      </c>
      <c r="GH154">
        <v>1</v>
      </c>
      <c r="GI154">
        <v>2</v>
      </c>
      <c r="GJ154">
        <v>0</v>
      </c>
      <c r="GK154">
        <f>ROUND(R154*(R12)/100,2)</f>
        <v>68.38</v>
      </c>
      <c r="GL154">
        <f t="shared" si="166"/>
        <v>0</v>
      </c>
      <c r="GM154">
        <f t="shared" si="167"/>
        <v>24864.23</v>
      </c>
      <c r="GN154">
        <f t="shared" si="168"/>
        <v>24864.23</v>
      </c>
      <c r="GO154">
        <f t="shared" si="169"/>
        <v>0</v>
      </c>
      <c r="GP154">
        <f t="shared" si="170"/>
        <v>0</v>
      </c>
      <c r="GR154">
        <v>0</v>
      </c>
      <c r="GS154">
        <v>3</v>
      </c>
      <c r="GT154">
        <v>0</v>
      </c>
      <c r="GU154" t="s">
        <v>3</v>
      </c>
      <c r="GV154">
        <f t="shared" si="171"/>
        <v>0</v>
      </c>
      <c r="GW154">
        <v>1</v>
      </c>
      <c r="GX154">
        <f t="shared" si="172"/>
        <v>0</v>
      </c>
      <c r="HA154">
        <v>0</v>
      </c>
      <c r="HB154">
        <v>0</v>
      </c>
      <c r="HC154">
        <f t="shared" si="173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18</v>
      </c>
      <c r="B155">
        <v>1</v>
      </c>
      <c r="C155">
        <v>180</v>
      </c>
      <c r="E155" t="s">
        <v>3</v>
      </c>
      <c r="F155" t="s">
        <v>56</v>
      </c>
      <c r="G155" t="s">
        <v>57</v>
      </c>
      <c r="H155" t="s">
        <v>58</v>
      </c>
      <c r="I155">
        <f>I154*J155</f>
        <v>12</v>
      </c>
      <c r="J155">
        <v>20</v>
      </c>
      <c r="K155">
        <v>20</v>
      </c>
      <c r="O155">
        <f t="shared" si="141"/>
        <v>1244.98</v>
      </c>
      <c r="P155">
        <f t="shared" si="142"/>
        <v>1244.98</v>
      </c>
      <c r="Q155">
        <f>(ROUND((ROUND(((ET155)*AV155*I155),2)*BB155),2)+ROUND((ROUND(((AE155-(EU155))*AV155*I155),2)*BS155),2))</f>
        <v>0</v>
      </c>
      <c r="R155">
        <f t="shared" si="143"/>
        <v>0</v>
      </c>
      <c r="S155">
        <f t="shared" si="144"/>
        <v>0</v>
      </c>
      <c r="T155">
        <f t="shared" si="145"/>
        <v>0</v>
      </c>
      <c r="U155">
        <f t="shared" si="146"/>
        <v>0</v>
      </c>
      <c r="V155">
        <f t="shared" si="147"/>
        <v>0</v>
      </c>
      <c r="W155">
        <f t="shared" si="148"/>
        <v>0</v>
      </c>
      <c r="X155">
        <f t="shared" si="149"/>
        <v>0</v>
      </c>
      <c r="Y155">
        <f t="shared" si="150"/>
        <v>0</v>
      </c>
      <c r="AA155">
        <v>-1</v>
      </c>
      <c r="AB155">
        <f t="shared" si="151"/>
        <v>28.98</v>
      </c>
      <c r="AC155">
        <f t="shared" si="152"/>
        <v>28.98</v>
      </c>
      <c r="AD155">
        <f>ROUND((((ET155)-(EU155))+AE155),6)</f>
        <v>0</v>
      </c>
      <c r="AE155">
        <f>ROUND((EU155),6)</f>
        <v>0</v>
      </c>
      <c r="AF155">
        <f>ROUND((EV155),6)</f>
        <v>0</v>
      </c>
      <c r="AG155">
        <f t="shared" si="153"/>
        <v>0</v>
      </c>
      <c r="AH155">
        <f>(EW155)</f>
        <v>0</v>
      </c>
      <c r="AI155">
        <f>(EX155)</f>
        <v>0</v>
      </c>
      <c r="AJ155">
        <f t="shared" si="154"/>
        <v>0</v>
      </c>
      <c r="AK155">
        <v>28.98</v>
      </c>
      <c r="AL155">
        <v>28.98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3.58</v>
      </c>
      <c r="BD155" t="s">
        <v>3</v>
      </c>
      <c r="BE155" t="s">
        <v>3</v>
      </c>
      <c r="BF155" t="s">
        <v>3</v>
      </c>
      <c r="BG155" t="s">
        <v>3</v>
      </c>
      <c r="BH155">
        <v>3</v>
      </c>
      <c r="BI155">
        <v>1</v>
      </c>
      <c r="BJ155" t="s">
        <v>59</v>
      </c>
      <c r="BM155">
        <v>2087</v>
      </c>
      <c r="BN155">
        <v>36862081</v>
      </c>
      <c r="BO155" t="s">
        <v>56</v>
      </c>
      <c r="BP155">
        <v>1</v>
      </c>
      <c r="BQ155">
        <v>30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0</v>
      </c>
      <c r="CA155">
        <v>0</v>
      </c>
      <c r="CB155" t="s">
        <v>3</v>
      </c>
      <c r="CE155">
        <v>30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155"/>
        <v>1244.98</v>
      </c>
      <c r="CQ155">
        <f t="shared" si="156"/>
        <v>103.75</v>
      </c>
      <c r="CR155">
        <f>(ROUND((ROUND(((ET155)*AV155*1),2)*BB155),2)+ROUND((ROUND(((AE155-(EU155))*AV155*1),2)*BS155),2))</f>
        <v>0</v>
      </c>
      <c r="CS155">
        <f t="shared" si="157"/>
        <v>0</v>
      </c>
      <c r="CT155">
        <f t="shared" si="158"/>
        <v>0</v>
      </c>
      <c r="CU155">
        <f t="shared" si="159"/>
        <v>0</v>
      </c>
      <c r="CV155">
        <f t="shared" si="160"/>
        <v>0</v>
      </c>
      <c r="CW155">
        <f t="shared" si="161"/>
        <v>0</v>
      </c>
      <c r="CX155">
        <f t="shared" si="162"/>
        <v>0</v>
      </c>
      <c r="CY155">
        <f t="shared" si="163"/>
        <v>0</v>
      </c>
      <c r="CZ155">
        <f t="shared" si="164"/>
        <v>0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100</v>
      </c>
      <c r="DO155">
        <v>64</v>
      </c>
      <c r="DP155">
        <v>1</v>
      </c>
      <c r="DQ155">
        <v>1</v>
      </c>
      <c r="DU155">
        <v>1009</v>
      </c>
      <c r="DV155" t="s">
        <v>58</v>
      </c>
      <c r="DW155" t="s">
        <v>58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53214868</v>
      </c>
      <c r="EF155">
        <v>30</v>
      </c>
      <c r="EG155" t="s">
        <v>37</v>
      </c>
      <c r="EH155">
        <v>0</v>
      </c>
      <c r="EI155" t="s">
        <v>3</v>
      </c>
      <c r="EJ155">
        <v>1</v>
      </c>
      <c r="EK155">
        <v>2087</v>
      </c>
      <c r="EL155" t="s">
        <v>146</v>
      </c>
      <c r="EM155" t="s">
        <v>147</v>
      </c>
      <c r="EO155" t="s">
        <v>3</v>
      </c>
      <c r="EQ155">
        <v>1024</v>
      </c>
      <c r="ER155">
        <v>28.98</v>
      </c>
      <c r="ES155">
        <v>28.98</v>
      </c>
      <c r="ET155">
        <v>0</v>
      </c>
      <c r="EU155">
        <v>0</v>
      </c>
      <c r="EV155">
        <v>0</v>
      </c>
      <c r="EW155">
        <v>0</v>
      </c>
      <c r="EX155">
        <v>0</v>
      </c>
      <c r="FQ155">
        <v>0</v>
      </c>
      <c r="FR155">
        <f t="shared" si="165"/>
        <v>0</v>
      </c>
      <c r="FS155">
        <v>0</v>
      </c>
      <c r="FX155">
        <v>100</v>
      </c>
      <c r="FY155">
        <v>64</v>
      </c>
      <c r="GA155" t="s">
        <v>3</v>
      </c>
      <c r="GD155">
        <v>0</v>
      </c>
      <c r="GF155">
        <v>33071459</v>
      </c>
      <c r="GG155">
        <v>2</v>
      </c>
      <c r="GH155">
        <v>1</v>
      </c>
      <c r="GI155">
        <v>2</v>
      </c>
      <c r="GJ155">
        <v>0</v>
      </c>
      <c r="GK155">
        <f>ROUND(R155*(R12)/100,2)</f>
        <v>0</v>
      </c>
      <c r="GL155">
        <f t="shared" si="166"/>
        <v>0</v>
      </c>
      <c r="GM155">
        <f t="shared" si="167"/>
        <v>1244.98</v>
      </c>
      <c r="GN155">
        <f t="shared" si="168"/>
        <v>1244.98</v>
      </c>
      <c r="GO155">
        <f t="shared" si="169"/>
        <v>0</v>
      </c>
      <c r="GP155">
        <f t="shared" si="170"/>
        <v>0</v>
      </c>
      <c r="GR155">
        <v>0</v>
      </c>
      <c r="GS155">
        <v>3</v>
      </c>
      <c r="GT155">
        <v>0</v>
      </c>
      <c r="GU155" t="s">
        <v>3</v>
      </c>
      <c r="GV155">
        <f t="shared" si="171"/>
        <v>0</v>
      </c>
      <c r="GW155">
        <v>1</v>
      </c>
      <c r="GX155">
        <f t="shared" si="172"/>
        <v>0</v>
      </c>
      <c r="HA155">
        <v>0</v>
      </c>
      <c r="HB155">
        <v>0</v>
      </c>
      <c r="HC155">
        <f t="shared" si="173"/>
        <v>0</v>
      </c>
      <c r="HE155" t="s">
        <v>3</v>
      </c>
      <c r="HF155" t="s">
        <v>3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IK155">
        <v>0</v>
      </c>
    </row>
    <row r="156" spans="1:245" x14ac:dyDescent="0.2">
      <c r="A156">
        <v>18</v>
      </c>
      <c r="B156">
        <v>1</v>
      </c>
      <c r="C156">
        <v>181</v>
      </c>
      <c r="E156" t="s">
        <v>3</v>
      </c>
      <c r="F156" t="s">
        <v>89</v>
      </c>
      <c r="G156" t="s">
        <v>976</v>
      </c>
      <c r="H156" t="s">
        <v>58</v>
      </c>
      <c r="I156">
        <f>I154*J156</f>
        <v>18</v>
      </c>
      <c r="J156">
        <v>30</v>
      </c>
      <c r="K156">
        <v>30</v>
      </c>
      <c r="O156">
        <f t="shared" si="141"/>
        <v>9235.89</v>
      </c>
      <c r="P156">
        <f t="shared" si="142"/>
        <v>9235.89</v>
      </c>
      <c r="Q156">
        <f>(ROUND((ROUND(((ET156)*AV156*I156),2)*BB156),2)+ROUND((ROUND(((AE156-(EU156))*AV156*I156),2)*BS156),2))</f>
        <v>0</v>
      </c>
      <c r="R156">
        <f t="shared" si="143"/>
        <v>0</v>
      </c>
      <c r="S156">
        <f t="shared" si="144"/>
        <v>0</v>
      </c>
      <c r="T156">
        <f t="shared" si="145"/>
        <v>0</v>
      </c>
      <c r="U156">
        <f t="shared" si="146"/>
        <v>0</v>
      </c>
      <c r="V156">
        <f t="shared" si="147"/>
        <v>0</v>
      </c>
      <c r="W156">
        <f t="shared" si="148"/>
        <v>0</v>
      </c>
      <c r="X156">
        <f t="shared" si="149"/>
        <v>0</v>
      </c>
      <c r="Y156">
        <f t="shared" si="150"/>
        <v>0</v>
      </c>
      <c r="AA156">
        <v>-1</v>
      </c>
      <c r="AB156">
        <f t="shared" si="151"/>
        <v>108.25</v>
      </c>
      <c r="AC156">
        <f t="shared" si="152"/>
        <v>108.25</v>
      </c>
      <c r="AD156">
        <f>ROUND((((ET156)-(EU156))+AE156),6)</f>
        <v>0</v>
      </c>
      <c r="AE156">
        <f>ROUND((EU156),6)</f>
        <v>0</v>
      </c>
      <c r="AF156">
        <f>ROUND((EV156),6)</f>
        <v>0</v>
      </c>
      <c r="AG156">
        <f t="shared" si="153"/>
        <v>0</v>
      </c>
      <c r="AH156">
        <f>(EW156)</f>
        <v>0</v>
      </c>
      <c r="AI156">
        <f>(EX156)</f>
        <v>0</v>
      </c>
      <c r="AJ156">
        <f t="shared" si="154"/>
        <v>0</v>
      </c>
      <c r="AK156">
        <v>108.25</v>
      </c>
      <c r="AL156">
        <v>108.25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4.74</v>
      </c>
      <c r="BD156" t="s">
        <v>3</v>
      </c>
      <c r="BE156" t="s">
        <v>3</v>
      </c>
      <c r="BF156" t="s">
        <v>3</v>
      </c>
      <c r="BG156" t="s">
        <v>3</v>
      </c>
      <c r="BH156">
        <v>3</v>
      </c>
      <c r="BI156">
        <v>1</v>
      </c>
      <c r="BJ156" t="s">
        <v>90</v>
      </c>
      <c r="BM156">
        <v>2087</v>
      </c>
      <c r="BN156">
        <v>36862081</v>
      </c>
      <c r="BO156" t="s">
        <v>89</v>
      </c>
      <c r="BP156">
        <v>1</v>
      </c>
      <c r="BQ156">
        <v>30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0</v>
      </c>
      <c r="CA156">
        <v>0</v>
      </c>
      <c r="CB156" t="s">
        <v>3</v>
      </c>
      <c r="CE156">
        <v>30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155"/>
        <v>9235.89</v>
      </c>
      <c r="CQ156">
        <f t="shared" si="156"/>
        <v>513.11</v>
      </c>
      <c r="CR156">
        <f>(ROUND((ROUND(((ET156)*AV156*1),2)*BB156),2)+ROUND((ROUND(((AE156-(EU156))*AV156*1),2)*BS156),2))</f>
        <v>0</v>
      </c>
      <c r="CS156">
        <f t="shared" si="157"/>
        <v>0</v>
      </c>
      <c r="CT156">
        <f t="shared" si="158"/>
        <v>0</v>
      </c>
      <c r="CU156">
        <f t="shared" si="159"/>
        <v>0</v>
      </c>
      <c r="CV156">
        <f t="shared" si="160"/>
        <v>0</v>
      </c>
      <c r="CW156">
        <f t="shared" si="161"/>
        <v>0</v>
      </c>
      <c r="CX156">
        <f t="shared" si="162"/>
        <v>0</v>
      </c>
      <c r="CY156">
        <f t="shared" si="163"/>
        <v>0</v>
      </c>
      <c r="CZ156">
        <f t="shared" si="164"/>
        <v>0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100</v>
      </c>
      <c r="DO156">
        <v>64</v>
      </c>
      <c r="DP156">
        <v>1</v>
      </c>
      <c r="DQ156">
        <v>1</v>
      </c>
      <c r="DU156">
        <v>1009</v>
      </c>
      <c r="DV156" t="s">
        <v>58</v>
      </c>
      <c r="DW156" t="s">
        <v>58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53214868</v>
      </c>
      <c r="EF156">
        <v>30</v>
      </c>
      <c r="EG156" t="s">
        <v>37</v>
      </c>
      <c r="EH156">
        <v>0</v>
      </c>
      <c r="EI156" t="s">
        <v>3</v>
      </c>
      <c r="EJ156">
        <v>1</v>
      </c>
      <c r="EK156">
        <v>2087</v>
      </c>
      <c r="EL156" t="s">
        <v>146</v>
      </c>
      <c r="EM156" t="s">
        <v>147</v>
      </c>
      <c r="EO156" t="s">
        <v>3</v>
      </c>
      <c r="EQ156">
        <v>1024</v>
      </c>
      <c r="ER156">
        <v>108.25</v>
      </c>
      <c r="ES156">
        <v>108.25</v>
      </c>
      <c r="ET156">
        <v>0</v>
      </c>
      <c r="EU156">
        <v>0</v>
      </c>
      <c r="EV156">
        <v>0</v>
      </c>
      <c r="EW156">
        <v>0</v>
      </c>
      <c r="EX156">
        <v>0</v>
      </c>
      <c r="FQ156">
        <v>0</v>
      </c>
      <c r="FR156">
        <f t="shared" si="165"/>
        <v>0</v>
      </c>
      <c r="FS156">
        <v>0</v>
      </c>
      <c r="FX156">
        <v>100</v>
      </c>
      <c r="FY156">
        <v>64</v>
      </c>
      <c r="GA156" t="s">
        <v>3</v>
      </c>
      <c r="GD156">
        <v>0</v>
      </c>
      <c r="GF156">
        <v>-1515598087</v>
      </c>
      <c r="GG156">
        <v>2</v>
      </c>
      <c r="GH156">
        <v>1</v>
      </c>
      <c r="GI156">
        <v>2</v>
      </c>
      <c r="GJ156">
        <v>0</v>
      </c>
      <c r="GK156">
        <f>ROUND(R156*(R12)/100,2)</f>
        <v>0</v>
      </c>
      <c r="GL156">
        <f t="shared" si="166"/>
        <v>0</v>
      </c>
      <c r="GM156">
        <f t="shared" si="167"/>
        <v>9235.89</v>
      </c>
      <c r="GN156">
        <f t="shared" si="168"/>
        <v>9235.89</v>
      </c>
      <c r="GO156">
        <f t="shared" si="169"/>
        <v>0</v>
      </c>
      <c r="GP156">
        <f t="shared" si="170"/>
        <v>0</v>
      </c>
      <c r="GR156">
        <v>0</v>
      </c>
      <c r="GS156">
        <v>3</v>
      </c>
      <c r="GT156">
        <v>0</v>
      </c>
      <c r="GU156" t="s">
        <v>3</v>
      </c>
      <c r="GV156">
        <f t="shared" si="171"/>
        <v>0</v>
      </c>
      <c r="GW156">
        <v>1</v>
      </c>
      <c r="GX156">
        <f t="shared" si="172"/>
        <v>0</v>
      </c>
      <c r="HA156">
        <v>0</v>
      </c>
      <c r="HB156">
        <v>0</v>
      </c>
      <c r="HC156">
        <f t="shared" si="173"/>
        <v>0</v>
      </c>
      <c r="HE156" t="s">
        <v>3</v>
      </c>
      <c r="HF156" t="s">
        <v>3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IK156">
        <v>0</v>
      </c>
    </row>
    <row r="158" spans="1:245" x14ac:dyDescent="0.2">
      <c r="A158" s="2">
        <v>51</v>
      </c>
      <c r="B158" s="2">
        <f>B93</f>
        <v>1</v>
      </c>
      <c r="C158" s="2">
        <f>A93</f>
        <v>4</v>
      </c>
      <c r="D158" s="2">
        <f>ROW(A93)</f>
        <v>93</v>
      </c>
      <c r="E158" s="2"/>
      <c r="F158" s="2" t="str">
        <f>IF(F93&lt;&gt;"",F93,"")</f>
        <v>Новый раздел</v>
      </c>
      <c r="G158" s="2" t="str">
        <f>IF(G93&lt;&gt;"",G93,"")</f>
        <v>Стены</v>
      </c>
      <c r="H158" s="2">
        <v>0</v>
      </c>
      <c r="I158" s="2"/>
      <c r="J158" s="2"/>
      <c r="K158" s="2"/>
      <c r="L158" s="2"/>
      <c r="M158" s="2"/>
      <c r="N158" s="2"/>
      <c r="O158" s="2">
        <f t="shared" ref="O158:T158" si="180">ROUND(AB158,2)</f>
        <v>399135.48</v>
      </c>
      <c r="P158" s="2">
        <f t="shared" si="180"/>
        <v>170205.85</v>
      </c>
      <c r="Q158" s="2">
        <f t="shared" si="180"/>
        <v>8273.15</v>
      </c>
      <c r="R158" s="2">
        <f t="shared" si="180"/>
        <v>5586.87</v>
      </c>
      <c r="S158" s="2">
        <f t="shared" si="180"/>
        <v>220656.48</v>
      </c>
      <c r="T158" s="2">
        <f t="shared" si="180"/>
        <v>0</v>
      </c>
      <c r="U158" s="2">
        <f>AH158</f>
        <v>613.55583000000001</v>
      </c>
      <c r="V158" s="2">
        <f>AI158</f>
        <v>0</v>
      </c>
      <c r="W158" s="2">
        <f>ROUND(AJ158,2)</f>
        <v>0</v>
      </c>
      <c r="X158" s="2">
        <f>ROUND(AK158,2)</f>
        <v>178682.38</v>
      </c>
      <c r="Y158" s="2">
        <f>ROUND(AL158,2)</f>
        <v>90469.16</v>
      </c>
      <c r="Z158" s="2"/>
      <c r="AA158" s="2"/>
      <c r="AB158" s="2">
        <f>ROUND(SUMIF(AA97:AA156,"=53860087",O97:O156),2)</f>
        <v>399135.48</v>
      </c>
      <c r="AC158" s="2">
        <f>ROUND(SUMIF(AA97:AA156,"=53860087",P97:P156),2)</f>
        <v>170205.85</v>
      </c>
      <c r="AD158" s="2">
        <f>ROUND(SUMIF(AA97:AA156,"=53860087",Q97:Q156),2)</f>
        <v>8273.15</v>
      </c>
      <c r="AE158" s="2">
        <f>ROUND(SUMIF(AA97:AA156,"=53860087",R97:R156),2)</f>
        <v>5586.87</v>
      </c>
      <c r="AF158" s="2">
        <f>ROUND(SUMIF(AA97:AA156,"=53860087",S97:S156),2)</f>
        <v>220656.48</v>
      </c>
      <c r="AG158" s="2">
        <f>ROUND(SUMIF(AA97:AA156,"=53860087",T97:T156),2)</f>
        <v>0</v>
      </c>
      <c r="AH158" s="2">
        <f>SUMIF(AA97:AA156,"=53860087",U97:U156)</f>
        <v>613.55583000000001</v>
      </c>
      <c r="AI158" s="2">
        <f>SUMIF(AA97:AA156,"=53860087",V97:V156)</f>
        <v>0</v>
      </c>
      <c r="AJ158" s="2">
        <f>ROUND(SUMIF(AA97:AA156,"=53860087",W97:W156),2)</f>
        <v>0</v>
      </c>
      <c r="AK158" s="2">
        <f>ROUND(SUMIF(AA97:AA156,"=53860087",X97:X156),2)</f>
        <v>178682.38</v>
      </c>
      <c r="AL158" s="2">
        <f>ROUND(SUMIF(AA97:AA156,"=53860087",Y97:Y156),2)</f>
        <v>90469.16</v>
      </c>
      <c r="AM158" s="2"/>
      <c r="AN158" s="2"/>
      <c r="AO158" s="2">
        <f t="shared" ref="AO158:BD158" si="181">ROUND(BX158,2)</f>
        <v>0</v>
      </c>
      <c r="AP158" s="2">
        <f t="shared" si="181"/>
        <v>0</v>
      </c>
      <c r="AQ158" s="2">
        <f t="shared" si="181"/>
        <v>0</v>
      </c>
      <c r="AR158" s="2">
        <f t="shared" si="181"/>
        <v>677226.01</v>
      </c>
      <c r="AS158" s="2">
        <f t="shared" si="181"/>
        <v>677226.01</v>
      </c>
      <c r="AT158" s="2">
        <f t="shared" si="181"/>
        <v>0</v>
      </c>
      <c r="AU158" s="2">
        <f t="shared" si="181"/>
        <v>0</v>
      </c>
      <c r="AV158" s="2">
        <f t="shared" si="181"/>
        <v>170205.85</v>
      </c>
      <c r="AW158" s="2">
        <f t="shared" si="181"/>
        <v>170205.85</v>
      </c>
      <c r="AX158" s="2">
        <f t="shared" si="181"/>
        <v>0</v>
      </c>
      <c r="AY158" s="2">
        <f t="shared" si="181"/>
        <v>170205.85</v>
      </c>
      <c r="AZ158" s="2">
        <f t="shared" si="181"/>
        <v>0</v>
      </c>
      <c r="BA158" s="2">
        <f t="shared" si="181"/>
        <v>0</v>
      </c>
      <c r="BB158" s="2">
        <f t="shared" si="181"/>
        <v>0</v>
      </c>
      <c r="BC158" s="2">
        <f t="shared" si="181"/>
        <v>0</v>
      </c>
      <c r="BD158" s="2">
        <f t="shared" si="181"/>
        <v>0</v>
      </c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>
        <f>ROUND(SUMIF(AA97:AA156,"=53860087",FQ97:FQ156),2)</f>
        <v>0</v>
      </c>
      <c r="BY158" s="2">
        <f>ROUND(SUMIF(AA97:AA156,"=53860087",FR97:FR156),2)</f>
        <v>0</v>
      </c>
      <c r="BZ158" s="2">
        <f>ROUND(SUMIF(AA97:AA156,"=53860087",GL97:GL156),2)</f>
        <v>0</v>
      </c>
      <c r="CA158" s="2">
        <f>ROUND(SUMIF(AA97:AA156,"=53860087",GM97:GM156),2)</f>
        <v>677226.01</v>
      </c>
      <c r="CB158" s="2">
        <f>ROUND(SUMIF(AA97:AA156,"=53860087",GN97:GN156),2)</f>
        <v>677226.01</v>
      </c>
      <c r="CC158" s="2">
        <f>ROUND(SUMIF(AA97:AA156,"=53860087",GO97:GO156),2)</f>
        <v>0</v>
      </c>
      <c r="CD158" s="2">
        <f>ROUND(SUMIF(AA97:AA156,"=53860087",GP97:GP156),2)</f>
        <v>0</v>
      </c>
      <c r="CE158" s="2">
        <f>AC158-BX158</f>
        <v>170205.85</v>
      </c>
      <c r="CF158" s="2">
        <f>AC158-BY158</f>
        <v>170205.85</v>
      </c>
      <c r="CG158" s="2">
        <f>BX158-BZ158</f>
        <v>0</v>
      </c>
      <c r="CH158" s="2">
        <f>AC158-BX158-BY158+BZ158</f>
        <v>170205.85</v>
      </c>
      <c r="CI158" s="2">
        <f>BY158-BZ158</f>
        <v>0</v>
      </c>
      <c r="CJ158" s="2">
        <f>ROUND(SUMIF(AA97:AA156,"=53860087",GX97:GX156),2)</f>
        <v>0</v>
      </c>
      <c r="CK158" s="2">
        <f>ROUND(SUMIF(AA97:AA156,"=53860087",GY97:GY156),2)</f>
        <v>0</v>
      </c>
      <c r="CL158" s="2">
        <f>ROUND(SUMIF(AA97:AA156,"=53860087",GZ97:GZ156),2)</f>
        <v>0</v>
      </c>
      <c r="CM158" s="2">
        <f>ROUND(SUMIF(AA97:AA156,"=53860087",HD97:HD156),2)</f>
        <v>0</v>
      </c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>
        <v>0</v>
      </c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201</v>
      </c>
      <c r="F160" s="4">
        <f>ROUND(Source!O158,O160)</f>
        <v>399135.48</v>
      </c>
      <c r="G160" s="4" t="s">
        <v>159</v>
      </c>
      <c r="H160" s="4" t="s">
        <v>160</v>
      </c>
      <c r="I160" s="4"/>
      <c r="J160" s="4"/>
      <c r="K160" s="4">
        <v>201</v>
      </c>
      <c r="L160" s="4">
        <v>1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399135.48</v>
      </c>
      <c r="X160" s="4">
        <v>1</v>
      </c>
      <c r="Y160" s="4">
        <v>399135.48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202</v>
      </c>
      <c r="F161" s="4">
        <f>ROUND(Source!P158,O161)</f>
        <v>170205.85</v>
      </c>
      <c r="G161" s="4" t="s">
        <v>161</v>
      </c>
      <c r="H161" s="4" t="s">
        <v>162</v>
      </c>
      <c r="I161" s="4"/>
      <c r="J161" s="4"/>
      <c r="K161" s="4">
        <v>202</v>
      </c>
      <c r="L161" s="4">
        <v>2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170205.85</v>
      </c>
      <c r="X161" s="4">
        <v>1</v>
      </c>
      <c r="Y161" s="4">
        <v>170205.85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222</v>
      </c>
      <c r="F162" s="4">
        <f>ROUND(Source!AO158,O162)</f>
        <v>0</v>
      </c>
      <c r="G162" s="4" t="s">
        <v>163</v>
      </c>
      <c r="H162" s="4" t="s">
        <v>164</v>
      </c>
      <c r="I162" s="4"/>
      <c r="J162" s="4"/>
      <c r="K162" s="4">
        <v>222</v>
      </c>
      <c r="L162" s="4">
        <v>3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225</v>
      </c>
      <c r="F163" s="4">
        <f>ROUND(Source!AV158,O163)</f>
        <v>170205.85</v>
      </c>
      <c r="G163" s="4" t="s">
        <v>165</v>
      </c>
      <c r="H163" s="4" t="s">
        <v>166</v>
      </c>
      <c r="I163" s="4"/>
      <c r="J163" s="4"/>
      <c r="K163" s="4">
        <v>225</v>
      </c>
      <c r="L163" s="4">
        <v>4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170205.85</v>
      </c>
      <c r="X163" s="4">
        <v>1</v>
      </c>
      <c r="Y163" s="4">
        <v>170205.85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226</v>
      </c>
      <c r="F164" s="4">
        <f>ROUND(Source!AW158,O164)</f>
        <v>170205.85</v>
      </c>
      <c r="G164" s="4" t="s">
        <v>167</v>
      </c>
      <c r="H164" s="4" t="s">
        <v>168</v>
      </c>
      <c r="I164" s="4"/>
      <c r="J164" s="4"/>
      <c r="K164" s="4">
        <v>226</v>
      </c>
      <c r="L164" s="4">
        <v>5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170205.85</v>
      </c>
      <c r="X164" s="4">
        <v>1</v>
      </c>
      <c r="Y164" s="4">
        <v>170205.85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227</v>
      </c>
      <c r="F165" s="4">
        <f>ROUND(Source!AX158,O165)</f>
        <v>0</v>
      </c>
      <c r="G165" s="4" t="s">
        <v>169</v>
      </c>
      <c r="H165" s="4" t="s">
        <v>170</v>
      </c>
      <c r="I165" s="4"/>
      <c r="J165" s="4"/>
      <c r="K165" s="4">
        <v>227</v>
      </c>
      <c r="L165" s="4">
        <v>6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228</v>
      </c>
      <c r="F166" s="4">
        <f>ROUND(Source!AY158,O166)</f>
        <v>170205.85</v>
      </c>
      <c r="G166" s="4" t="s">
        <v>171</v>
      </c>
      <c r="H166" s="4" t="s">
        <v>172</v>
      </c>
      <c r="I166" s="4"/>
      <c r="J166" s="4"/>
      <c r="K166" s="4">
        <v>228</v>
      </c>
      <c r="L166" s="4">
        <v>7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170205.85</v>
      </c>
      <c r="X166" s="4">
        <v>1</v>
      </c>
      <c r="Y166" s="4">
        <v>170205.85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216</v>
      </c>
      <c r="F167" s="4">
        <f>ROUND(Source!AP158,O167)</f>
        <v>0</v>
      </c>
      <c r="G167" s="4" t="s">
        <v>173</v>
      </c>
      <c r="H167" s="4" t="s">
        <v>174</v>
      </c>
      <c r="I167" s="4"/>
      <c r="J167" s="4"/>
      <c r="K167" s="4">
        <v>216</v>
      </c>
      <c r="L167" s="4">
        <v>8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223</v>
      </c>
      <c r="F168" s="4">
        <f>ROUND(Source!AQ158,O168)</f>
        <v>0</v>
      </c>
      <c r="G168" s="4" t="s">
        <v>175</v>
      </c>
      <c r="H168" s="4" t="s">
        <v>176</v>
      </c>
      <c r="I168" s="4"/>
      <c r="J168" s="4"/>
      <c r="K168" s="4">
        <v>223</v>
      </c>
      <c r="L168" s="4">
        <v>9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229</v>
      </c>
      <c r="F169" s="4">
        <f>ROUND(Source!AZ158,O169)</f>
        <v>0</v>
      </c>
      <c r="G169" s="4" t="s">
        <v>177</v>
      </c>
      <c r="H169" s="4" t="s">
        <v>178</v>
      </c>
      <c r="I169" s="4"/>
      <c r="J169" s="4"/>
      <c r="K169" s="4">
        <v>229</v>
      </c>
      <c r="L169" s="4">
        <v>10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203</v>
      </c>
      <c r="F170" s="4">
        <f>ROUND(Source!Q158,O170)</f>
        <v>8273.15</v>
      </c>
      <c r="G170" s="4" t="s">
        <v>179</v>
      </c>
      <c r="H170" s="4" t="s">
        <v>180</v>
      </c>
      <c r="I170" s="4"/>
      <c r="J170" s="4"/>
      <c r="K170" s="4">
        <v>203</v>
      </c>
      <c r="L170" s="4">
        <v>11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8273.15</v>
      </c>
      <c r="X170" s="4">
        <v>1</v>
      </c>
      <c r="Y170" s="4">
        <v>8273.15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231</v>
      </c>
      <c r="F171" s="4">
        <f>ROUND(Source!BB158,O171)</f>
        <v>0</v>
      </c>
      <c r="G171" s="4" t="s">
        <v>181</v>
      </c>
      <c r="H171" s="4" t="s">
        <v>182</v>
      </c>
      <c r="I171" s="4"/>
      <c r="J171" s="4"/>
      <c r="K171" s="4">
        <v>231</v>
      </c>
      <c r="L171" s="4">
        <v>12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204</v>
      </c>
      <c r="F172" s="4">
        <f>ROUND(Source!R158,O172)</f>
        <v>5586.87</v>
      </c>
      <c r="G172" s="4" t="s">
        <v>183</v>
      </c>
      <c r="H172" s="4" t="s">
        <v>184</v>
      </c>
      <c r="I172" s="4"/>
      <c r="J172" s="4"/>
      <c r="K172" s="4">
        <v>204</v>
      </c>
      <c r="L172" s="4">
        <v>13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5586.87</v>
      </c>
      <c r="X172" s="4">
        <v>1</v>
      </c>
      <c r="Y172" s="4">
        <v>5586.87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205</v>
      </c>
      <c r="F173" s="4">
        <f>ROUND(Source!S158,O173)</f>
        <v>220656.48</v>
      </c>
      <c r="G173" s="4" t="s">
        <v>185</v>
      </c>
      <c r="H173" s="4" t="s">
        <v>186</v>
      </c>
      <c r="I173" s="4"/>
      <c r="J173" s="4"/>
      <c r="K173" s="4">
        <v>205</v>
      </c>
      <c r="L173" s="4">
        <v>14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220656.48</v>
      </c>
      <c r="X173" s="4">
        <v>1</v>
      </c>
      <c r="Y173" s="4">
        <v>220656.48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232</v>
      </c>
      <c r="F174" s="4">
        <f>ROUND(Source!BC158,O174)</f>
        <v>0</v>
      </c>
      <c r="G174" s="4" t="s">
        <v>187</v>
      </c>
      <c r="H174" s="4" t="s">
        <v>188</v>
      </c>
      <c r="I174" s="4"/>
      <c r="J174" s="4"/>
      <c r="K174" s="4">
        <v>232</v>
      </c>
      <c r="L174" s="4">
        <v>15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214</v>
      </c>
      <c r="F175" s="4">
        <f>ROUND(Source!AS158,O175)</f>
        <v>677226.01</v>
      </c>
      <c r="G175" s="4" t="s">
        <v>189</v>
      </c>
      <c r="H175" s="4" t="s">
        <v>190</v>
      </c>
      <c r="I175" s="4"/>
      <c r="J175" s="4"/>
      <c r="K175" s="4">
        <v>214</v>
      </c>
      <c r="L175" s="4">
        <v>16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677226.01</v>
      </c>
      <c r="X175" s="4">
        <v>1</v>
      </c>
      <c r="Y175" s="4">
        <v>677226.01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215</v>
      </c>
      <c r="F176" s="4">
        <f>ROUND(Source!AT158,O176)</f>
        <v>0</v>
      </c>
      <c r="G176" s="4" t="s">
        <v>46</v>
      </c>
      <c r="H176" s="4" t="s">
        <v>191</v>
      </c>
      <c r="I176" s="4"/>
      <c r="J176" s="4"/>
      <c r="K176" s="4">
        <v>215</v>
      </c>
      <c r="L176" s="4">
        <v>17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217</v>
      </c>
      <c r="F177" s="4">
        <f>ROUND(Source!AU158,O177)</f>
        <v>0</v>
      </c>
      <c r="G177" s="4" t="s">
        <v>192</v>
      </c>
      <c r="H177" s="4" t="s">
        <v>193</v>
      </c>
      <c r="I177" s="4"/>
      <c r="J177" s="4"/>
      <c r="K177" s="4">
        <v>217</v>
      </c>
      <c r="L177" s="4">
        <v>18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230</v>
      </c>
      <c r="F178" s="4">
        <f>ROUND(Source!BA158,O178)</f>
        <v>0</v>
      </c>
      <c r="G178" s="4" t="s">
        <v>194</v>
      </c>
      <c r="H178" s="4" t="s">
        <v>195</v>
      </c>
      <c r="I178" s="4"/>
      <c r="J178" s="4"/>
      <c r="K178" s="4">
        <v>230</v>
      </c>
      <c r="L178" s="4">
        <v>19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206</v>
      </c>
      <c r="F179" s="4">
        <f>ROUND(Source!T158,O179)</f>
        <v>0</v>
      </c>
      <c r="G179" s="4" t="s">
        <v>196</v>
      </c>
      <c r="H179" s="4" t="s">
        <v>197</v>
      </c>
      <c r="I179" s="4"/>
      <c r="J179" s="4"/>
      <c r="K179" s="4">
        <v>206</v>
      </c>
      <c r="L179" s="4">
        <v>20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207</v>
      </c>
      <c r="F180" s="4">
        <f>Source!U158</f>
        <v>613.55583000000001</v>
      </c>
      <c r="G180" s="4" t="s">
        <v>198</v>
      </c>
      <c r="H180" s="4" t="s">
        <v>199</v>
      </c>
      <c r="I180" s="4"/>
      <c r="J180" s="4"/>
      <c r="K180" s="4">
        <v>207</v>
      </c>
      <c r="L180" s="4">
        <v>21</v>
      </c>
      <c r="M180" s="4">
        <v>3</v>
      </c>
      <c r="N180" s="4" t="s">
        <v>3</v>
      </c>
      <c r="O180" s="4">
        <v>-1</v>
      </c>
      <c r="P180" s="4"/>
      <c r="Q180" s="4"/>
      <c r="R180" s="4"/>
      <c r="S180" s="4"/>
      <c r="T180" s="4"/>
      <c r="U180" s="4"/>
      <c r="V180" s="4"/>
      <c r="W180" s="4">
        <v>613.55583000000001</v>
      </c>
      <c r="X180" s="4">
        <v>1</v>
      </c>
      <c r="Y180" s="4">
        <v>613.55583000000001</v>
      </c>
      <c r="Z180" s="4"/>
      <c r="AA180" s="4"/>
      <c r="AB180" s="4"/>
    </row>
    <row r="181" spans="1:245" x14ac:dyDescent="0.2">
      <c r="A181" s="4">
        <v>50</v>
      </c>
      <c r="B181" s="4">
        <v>0</v>
      </c>
      <c r="C181" s="4">
        <v>0</v>
      </c>
      <c r="D181" s="4">
        <v>1</v>
      </c>
      <c r="E181" s="4">
        <v>208</v>
      </c>
      <c r="F181" s="4">
        <f>Source!V158</f>
        <v>0</v>
      </c>
      <c r="G181" s="4" t="s">
        <v>200</v>
      </c>
      <c r="H181" s="4" t="s">
        <v>201</v>
      </c>
      <c r="I181" s="4"/>
      <c r="J181" s="4"/>
      <c r="K181" s="4">
        <v>208</v>
      </c>
      <c r="L181" s="4">
        <v>22</v>
      </c>
      <c r="M181" s="4">
        <v>3</v>
      </c>
      <c r="N181" s="4" t="s">
        <v>3</v>
      </c>
      <c r="O181" s="4">
        <v>-1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45" x14ac:dyDescent="0.2">
      <c r="A182" s="4">
        <v>50</v>
      </c>
      <c r="B182" s="4">
        <v>0</v>
      </c>
      <c r="C182" s="4">
        <v>0</v>
      </c>
      <c r="D182" s="4">
        <v>1</v>
      </c>
      <c r="E182" s="4">
        <v>209</v>
      </c>
      <c r="F182" s="4">
        <f>ROUND(Source!W158,O182)</f>
        <v>0</v>
      </c>
      <c r="G182" s="4" t="s">
        <v>202</v>
      </c>
      <c r="H182" s="4" t="s">
        <v>203</v>
      </c>
      <c r="I182" s="4"/>
      <c r="J182" s="4"/>
      <c r="K182" s="4">
        <v>209</v>
      </c>
      <c r="L182" s="4">
        <v>23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45" x14ac:dyDescent="0.2">
      <c r="A183" s="4">
        <v>50</v>
      </c>
      <c r="B183" s="4">
        <v>0</v>
      </c>
      <c r="C183" s="4">
        <v>0</v>
      </c>
      <c r="D183" s="4">
        <v>1</v>
      </c>
      <c r="E183" s="4">
        <v>233</v>
      </c>
      <c r="F183" s="4">
        <f>ROUND(Source!BD158,O183)</f>
        <v>0</v>
      </c>
      <c r="G183" s="4" t="s">
        <v>204</v>
      </c>
      <c r="H183" s="4" t="s">
        <v>205</v>
      </c>
      <c r="I183" s="4"/>
      <c r="J183" s="4"/>
      <c r="K183" s="4">
        <v>233</v>
      </c>
      <c r="L183" s="4">
        <v>24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45" x14ac:dyDescent="0.2">
      <c r="A184" s="4">
        <v>50</v>
      </c>
      <c r="B184" s="4">
        <v>0</v>
      </c>
      <c r="C184" s="4">
        <v>0</v>
      </c>
      <c r="D184" s="4">
        <v>1</v>
      </c>
      <c r="E184" s="4">
        <v>210</v>
      </c>
      <c r="F184" s="4">
        <f>ROUND(Source!X158,O184)</f>
        <v>178682.38</v>
      </c>
      <c r="G184" s="4" t="s">
        <v>206</v>
      </c>
      <c r="H184" s="4" t="s">
        <v>207</v>
      </c>
      <c r="I184" s="4"/>
      <c r="J184" s="4"/>
      <c r="K184" s="4">
        <v>210</v>
      </c>
      <c r="L184" s="4">
        <v>25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178682.38</v>
      </c>
      <c r="X184" s="4">
        <v>1</v>
      </c>
      <c r="Y184" s="4">
        <v>178682.38</v>
      </c>
      <c r="Z184" s="4"/>
      <c r="AA184" s="4"/>
      <c r="AB184" s="4"/>
    </row>
    <row r="185" spans="1:245" x14ac:dyDescent="0.2">
      <c r="A185" s="4">
        <v>50</v>
      </c>
      <c r="B185" s="4">
        <v>0</v>
      </c>
      <c r="C185" s="4">
        <v>0</v>
      </c>
      <c r="D185" s="4">
        <v>1</v>
      </c>
      <c r="E185" s="4">
        <v>211</v>
      </c>
      <c r="F185" s="4">
        <f>ROUND(Source!Y158,O185)</f>
        <v>90469.16</v>
      </c>
      <c r="G185" s="4" t="s">
        <v>208</v>
      </c>
      <c r="H185" s="4" t="s">
        <v>209</v>
      </c>
      <c r="I185" s="4"/>
      <c r="J185" s="4"/>
      <c r="K185" s="4">
        <v>211</v>
      </c>
      <c r="L185" s="4">
        <v>26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90469.16</v>
      </c>
      <c r="X185" s="4">
        <v>1</v>
      </c>
      <c r="Y185" s="4">
        <v>90469.16</v>
      </c>
      <c r="Z185" s="4"/>
      <c r="AA185" s="4"/>
      <c r="AB185" s="4"/>
    </row>
    <row r="186" spans="1:245" x14ac:dyDescent="0.2">
      <c r="A186" s="4">
        <v>50</v>
      </c>
      <c r="B186" s="4">
        <v>0</v>
      </c>
      <c r="C186" s="4">
        <v>0</v>
      </c>
      <c r="D186" s="4">
        <v>1</v>
      </c>
      <c r="E186" s="4">
        <v>224</v>
      </c>
      <c r="F186" s="4">
        <f>ROUND(Source!AR158,O186)</f>
        <v>677226.01</v>
      </c>
      <c r="G186" s="4" t="s">
        <v>210</v>
      </c>
      <c r="H186" s="4" t="s">
        <v>211</v>
      </c>
      <c r="I186" s="4"/>
      <c r="J186" s="4"/>
      <c r="K186" s="4">
        <v>224</v>
      </c>
      <c r="L186" s="4">
        <v>27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677226.01</v>
      </c>
      <c r="X186" s="4">
        <v>1</v>
      </c>
      <c r="Y186" s="4">
        <v>677226.01</v>
      </c>
      <c r="Z186" s="4"/>
      <c r="AA186" s="4"/>
      <c r="AB186" s="4"/>
    </row>
    <row r="188" spans="1:245" x14ac:dyDescent="0.2">
      <c r="A188" s="1">
        <v>4</v>
      </c>
      <c r="B188" s="1">
        <v>1</v>
      </c>
      <c r="C188" s="1"/>
      <c r="D188" s="1">
        <f>ROW(A232)</f>
        <v>232</v>
      </c>
      <c r="E188" s="1"/>
      <c r="F188" s="1" t="s">
        <v>14</v>
      </c>
      <c r="G188" s="1" t="s">
        <v>373</v>
      </c>
      <c r="H188" s="1" t="s">
        <v>3</v>
      </c>
      <c r="I188" s="1">
        <v>0</v>
      </c>
      <c r="J188" s="1"/>
      <c r="K188" s="1">
        <v>0</v>
      </c>
      <c r="L188" s="1"/>
      <c r="M188" s="1" t="s">
        <v>3</v>
      </c>
      <c r="N188" s="1"/>
      <c r="O188" s="1"/>
      <c r="P188" s="1"/>
      <c r="Q188" s="1"/>
      <c r="R188" s="1"/>
      <c r="S188" s="1">
        <v>0</v>
      </c>
      <c r="T188" s="1"/>
      <c r="U188" s="1" t="s">
        <v>3</v>
      </c>
      <c r="V188" s="1">
        <v>0</v>
      </c>
      <c r="W188" s="1"/>
      <c r="X188" s="1"/>
      <c r="Y188" s="1"/>
      <c r="Z188" s="1"/>
      <c r="AA188" s="1"/>
      <c r="AB188" s="1" t="s">
        <v>3</v>
      </c>
      <c r="AC188" s="1" t="s">
        <v>3</v>
      </c>
      <c r="AD188" s="1" t="s">
        <v>3</v>
      </c>
      <c r="AE188" s="1" t="s">
        <v>3</v>
      </c>
      <c r="AF188" s="1" t="s">
        <v>3</v>
      </c>
      <c r="AG188" s="1" t="s">
        <v>3</v>
      </c>
      <c r="AH188" s="1"/>
      <c r="AI188" s="1"/>
      <c r="AJ188" s="1"/>
      <c r="AK188" s="1"/>
      <c r="AL188" s="1"/>
      <c r="AM188" s="1"/>
      <c r="AN188" s="1"/>
      <c r="AO188" s="1"/>
      <c r="AP188" s="1" t="s">
        <v>3</v>
      </c>
      <c r="AQ188" s="1" t="s">
        <v>3</v>
      </c>
      <c r="AR188" s="1" t="s">
        <v>3</v>
      </c>
      <c r="AS188" s="1"/>
      <c r="AT188" s="1"/>
      <c r="AU188" s="1"/>
      <c r="AV188" s="1"/>
      <c r="AW188" s="1"/>
      <c r="AX188" s="1"/>
      <c r="AY188" s="1"/>
      <c r="AZ188" s="1" t="s">
        <v>3</v>
      </c>
      <c r="BA188" s="1"/>
      <c r="BB188" s="1" t="s">
        <v>3</v>
      </c>
      <c r="BC188" s="1" t="s">
        <v>3</v>
      </c>
      <c r="BD188" s="1" t="s">
        <v>3</v>
      </c>
      <c r="BE188" s="1" t="s">
        <v>3</v>
      </c>
      <c r="BF188" s="1" t="s">
        <v>3</v>
      </c>
      <c r="BG188" s="1" t="s">
        <v>3</v>
      </c>
      <c r="BH188" s="1" t="s">
        <v>3</v>
      </c>
      <c r="BI188" s="1" t="s">
        <v>3</v>
      </c>
      <c r="BJ188" s="1" t="s">
        <v>3</v>
      </c>
      <c r="BK188" s="1" t="s">
        <v>3</v>
      </c>
      <c r="BL188" s="1" t="s">
        <v>3</v>
      </c>
      <c r="BM188" s="1" t="s">
        <v>3</v>
      </c>
      <c r="BN188" s="1" t="s">
        <v>3</v>
      </c>
      <c r="BO188" s="1" t="s">
        <v>3</v>
      </c>
      <c r="BP188" s="1" t="s">
        <v>3</v>
      </c>
      <c r="BQ188" s="1"/>
      <c r="BR188" s="1"/>
      <c r="BS188" s="1"/>
      <c r="BT188" s="1"/>
      <c r="BU188" s="1"/>
      <c r="BV188" s="1"/>
      <c r="BW188" s="1"/>
      <c r="BX188" s="1">
        <v>0</v>
      </c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>
        <v>0</v>
      </c>
    </row>
    <row r="190" spans="1:245" x14ac:dyDescent="0.2">
      <c r="A190" s="2">
        <v>52</v>
      </c>
      <c r="B190" s="2">
        <f t="shared" ref="B190:G190" si="182">B232</f>
        <v>1</v>
      </c>
      <c r="C190" s="2">
        <f t="shared" si="182"/>
        <v>4</v>
      </c>
      <c r="D190" s="2">
        <f t="shared" si="182"/>
        <v>188</v>
      </c>
      <c r="E190" s="2">
        <f t="shared" si="182"/>
        <v>0</v>
      </c>
      <c r="F190" s="2" t="str">
        <f t="shared" si="182"/>
        <v>Новый раздел</v>
      </c>
      <c r="G190" s="2" t="str">
        <f t="shared" si="182"/>
        <v>Полы</v>
      </c>
      <c r="H190" s="2"/>
      <c r="I190" s="2"/>
      <c r="J190" s="2"/>
      <c r="K190" s="2"/>
      <c r="L190" s="2"/>
      <c r="M190" s="2"/>
      <c r="N190" s="2"/>
      <c r="O190" s="2">
        <f t="shared" ref="O190:AT190" si="183">O232</f>
        <v>614249.38</v>
      </c>
      <c r="P190" s="2">
        <f t="shared" si="183"/>
        <v>403570.11</v>
      </c>
      <c r="Q190" s="2">
        <f t="shared" si="183"/>
        <v>22605.46</v>
      </c>
      <c r="R190" s="2">
        <f t="shared" si="183"/>
        <v>12693.78</v>
      </c>
      <c r="S190" s="2">
        <f t="shared" si="183"/>
        <v>188073.81</v>
      </c>
      <c r="T190" s="2">
        <f t="shared" si="183"/>
        <v>0</v>
      </c>
      <c r="U190" s="2">
        <f t="shared" si="183"/>
        <v>546.54595999999992</v>
      </c>
      <c r="V190" s="2">
        <f t="shared" si="183"/>
        <v>0</v>
      </c>
      <c r="W190" s="2">
        <f t="shared" si="183"/>
        <v>0</v>
      </c>
      <c r="X190" s="2">
        <f t="shared" si="183"/>
        <v>153604.89000000001</v>
      </c>
      <c r="Y190" s="2">
        <f t="shared" si="183"/>
        <v>77110.259999999995</v>
      </c>
      <c r="Z190" s="2">
        <f t="shared" si="183"/>
        <v>0</v>
      </c>
      <c r="AA190" s="2">
        <f t="shared" si="183"/>
        <v>0</v>
      </c>
      <c r="AB190" s="2">
        <f t="shared" si="183"/>
        <v>614249.38</v>
      </c>
      <c r="AC190" s="2">
        <f t="shared" si="183"/>
        <v>403570.11</v>
      </c>
      <c r="AD190" s="2">
        <f t="shared" si="183"/>
        <v>22605.46</v>
      </c>
      <c r="AE190" s="2">
        <f t="shared" si="183"/>
        <v>12693.78</v>
      </c>
      <c r="AF190" s="2">
        <f t="shared" si="183"/>
        <v>188073.81</v>
      </c>
      <c r="AG190" s="2">
        <f t="shared" si="183"/>
        <v>0</v>
      </c>
      <c r="AH190" s="2">
        <f t="shared" si="183"/>
        <v>546.54595999999992</v>
      </c>
      <c r="AI190" s="2">
        <f t="shared" si="183"/>
        <v>0</v>
      </c>
      <c r="AJ190" s="2">
        <f t="shared" si="183"/>
        <v>0</v>
      </c>
      <c r="AK190" s="2">
        <f t="shared" si="183"/>
        <v>153604.89000000001</v>
      </c>
      <c r="AL190" s="2">
        <f t="shared" si="183"/>
        <v>77110.259999999995</v>
      </c>
      <c r="AM190" s="2">
        <f t="shared" si="183"/>
        <v>0</v>
      </c>
      <c r="AN190" s="2">
        <f t="shared" si="183"/>
        <v>0</v>
      </c>
      <c r="AO190" s="2">
        <f t="shared" si="183"/>
        <v>0</v>
      </c>
      <c r="AP190" s="2">
        <f t="shared" si="183"/>
        <v>0</v>
      </c>
      <c r="AQ190" s="2">
        <f t="shared" si="183"/>
        <v>0</v>
      </c>
      <c r="AR190" s="2">
        <f t="shared" si="183"/>
        <v>865274.57</v>
      </c>
      <c r="AS190" s="2">
        <f t="shared" si="183"/>
        <v>865274.57</v>
      </c>
      <c r="AT190" s="2">
        <f t="shared" si="183"/>
        <v>0</v>
      </c>
      <c r="AU190" s="2">
        <f t="shared" ref="AU190:BZ190" si="184">AU232</f>
        <v>0</v>
      </c>
      <c r="AV190" s="2">
        <f t="shared" si="184"/>
        <v>403570.11</v>
      </c>
      <c r="AW190" s="2">
        <f t="shared" si="184"/>
        <v>403570.11</v>
      </c>
      <c r="AX190" s="2">
        <f t="shared" si="184"/>
        <v>0</v>
      </c>
      <c r="AY190" s="2">
        <f t="shared" si="184"/>
        <v>403570.11</v>
      </c>
      <c r="AZ190" s="2">
        <f t="shared" si="184"/>
        <v>0</v>
      </c>
      <c r="BA190" s="2">
        <f t="shared" si="184"/>
        <v>0</v>
      </c>
      <c r="BB190" s="2">
        <f t="shared" si="184"/>
        <v>0</v>
      </c>
      <c r="BC190" s="2">
        <f t="shared" si="184"/>
        <v>0</v>
      </c>
      <c r="BD190" s="2">
        <f t="shared" si="184"/>
        <v>0</v>
      </c>
      <c r="BE190" s="2">
        <f t="shared" si="184"/>
        <v>0</v>
      </c>
      <c r="BF190" s="2">
        <f t="shared" si="184"/>
        <v>0</v>
      </c>
      <c r="BG190" s="2">
        <f t="shared" si="184"/>
        <v>0</v>
      </c>
      <c r="BH190" s="2">
        <f t="shared" si="184"/>
        <v>0</v>
      </c>
      <c r="BI190" s="2">
        <f t="shared" si="184"/>
        <v>0</v>
      </c>
      <c r="BJ190" s="2">
        <f t="shared" si="184"/>
        <v>0</v>
      </c>
      <c r="BK190" s="2">
        <f t="shared" si="184"/>
        <v>0</v>
      </c>
      <c r="BL190" s="2">
        <f t="shared" si="184"/>
        <v>0</v>
      </c>
      <c r="BM190" s="2">
        <f t="shared" si="184"/>
        <v>0</v>
      </c>
      <c r="BN190" s="2">
        <f t="shared" si="184"/>
        <v>0</v>
      </c>
      <c r="BO190" s="2">
        <f t="shared" si="184"/>
        <v>0</v>
      </c>
      <c r="BP190" s="2">
        <f t="shared" si="184"/>
        <v>0</v>
      </c>
      <c r="BQ190" s="2">
        <f t="shared" si="184"/>
        <v>0</v>
      </c>
      <c r="BR190" s="2">
        <f t="shared" si="184"/>
        <v>0</v>
      </c>
      <c r="BS190" s="2">
        <f t="shared" si="184"/>
        <v>0</v>
      </c>
      <c r="BT190" s="2">
        <f t="shared" si="184"/>
        <v>0</v>
      </c>
      <c r="BU190" s="2">
        <f t="shared" si="184"/>
        <v>0</v>
      </c>
      <c r="BV190" s="2">
        <f t="shared" si="184"/>
        <v>0</v>
      </c>
      <c r="BW190" s="2">
        <f t="shared" si="184"/>
        <v>0</v>
      </c>
      <c r="BX190" s="2">
        <f t="shared" si="184"/>
        <v>0</v>
      </c>
      <c r="BY190" s="2">
        <f t="shared" si="184"/>
        <v>0</v>
      </c>
      <c r="BZ190" s="2">
        <f t="shared" si="184"/>
        <v>0</v>
      </c>
      <c r="CA190" s="2">
        <f t="shared" ref="CA190:DF190" si="185">CA232</f>
        <v>865274.57</v>
      </c>
      <c r="CB190" s="2">
        <f t="shared" si="185"/>
        <v>865274.57</v>
      </c>
      <c r="CC190" s="2">
        <f t="shared" si="185"/>
        <v>0</v>
      </c>
      <c r="CD190" s="2">
        <f t="shared" si="185"/>
        <v>0</v>
      </c>
      <c r="CE190" s="2">
        <f t="shared" si="185"/>
        <v>403570.11</v>
      </c>
      <c r="CF190" s="2">
        <f t="shared" si="185"/>
        <v>403570.11</v>
      </c>
      <c r="CG190" s="2">
        <f t="shared" si="185"/>
        <v>0</v>
      </c>
      <c r="CH190" s="2">
        <f t="shared" si="185"/>
        <v>403570.11</v>
      </c>
      <c r="CI190" s="2">
        <f t="shared" si="185"/>
        <v>0</v>
      </c>
      <c r="CJ190" s="2">
        <f t="shared" si="185"/>
        <v>0</v>
      </c>
      <c r="CK190" s="2">
        <f t="shared" si="185"/>
        <v>0</v>
      </c>
      <c r="CL190" s="2">
        <f t="shared" si="185"/>
        <v>0</v>
      </c>
      <c r="CM190" s="2">
        <f t="shared" si="185"/>
        <v>0</v>
      </c>
      <c r="CN190" s="2">
        <f t="shared" si="185"/>
        <v>0</v>
      </c>
      <c r="CO190" s="2">
        <f t="shared" si="185"/>
        <v>0</v>
      </c>
      <c r="CP190" s="2">
        <f t="shared" si="185"/>
        <v>0</v>
      </c>
      <c r="CQ190" s="2">
        <f t="shared" si="185"/>
        <v>0</v>
      </c>
      <c r="CR190" s="2">
        <f t="shared" si="185"/>
        <v>0</v>
      </c>
      <c r="CS190" s="2">
        <f t="shared" si="185"/>
        <v>0</v>
      </c>
      <c r="CT190" s="2">
        <f t="shared" si="185"/>
        <v>0</v>
      </c>
      <c r="CU190" s="2">
        <f t="shared" si="185"/>
        <v>0</v>
      </c>
      <c r="CV190" s="2">
        <f t="shared" si="185"/>
        <v>0</v>
      </c>
      <c r="CW190" s="2">
        <f t="shared" si="185"/>
        <v>0</v>
      </c>
      <c r="CX190" s="2">
        <f t="shared" si="185"/>
        <v>0</v>
      </c>
      <c r="CY190" s="2">
        <f t="shared" si="185"/>
        <v>0</v>
      </c>
      <c r="CZ190" s="2">
        <f t="shared" si="185"/>
        <v>0</v>
      </c>
      <c r="DA190" s="2">
        <f t="shared" si="185"/>
        <v>0</v>
      </c>
      <c r="DB190" s="2">
        <f t="shared" si="185"/>
        <v>0</v>
      </c>
      <c r="DC190" s="2">
        <f t="shared" si="185"/>
        <v>0</v>
      </c>
      <c r="DD190" s="2">
        <f t="shared" si="185"/>
        <v>0</v>
      </c>
      <c r="DE190" s="2">
        <f t="shared" si="185"/>
        <v>0</v>
      </c>
      <c r="DF190" s="2">
        <f t="shared" si="185"/>
        <v>0</v>
      </c>
      <c r="DG190" s="3">
        <f t="shared" ref="DG190:EL190" si="186">DG232</f>
        <v>0</v>
      </c>
      <c r="DH190" s="3">
        <f t="shared" si="186"/>
        <v>0</v>
      </c>
      <c r="DI190" s="3">
        <f t="shared" si="186"/>
        <v>0</v>
      </c>
      <c r="DJ190" s="3">
        <f t="shared" si="186"/>
        <v>0</v>
      </c>
      <c r="DK190" s="3">
        <f t="shared" si="186"/>
        <v>0</v>
      </c>
      <c r="DL190" s="3">
        <f t="shared" si="186"/>
        <v>0</v>
      </c>
      <c r="DM190" s="3">
        <f t="shared" si="186"/>
        <v>0</v>
      </c>
      <c r="DN190" s="3">
        <f t="shared" si="186"/>
        <v>0</v>
      </c>
      <c r="DO190" s="3">
        <f t="shared" si="186"/>
        <v>0</v>
      </c>
      <c r="DP190" s="3">
        <f t="shared" si="186"/>
        <v>0</v>
      </c>
      <c r="DQ190" s="3">
        <f t="shared" si="186"/>
        <v>0</v>
      </c>
      <c r="DR190" s="3">
        <f t="shared" si="186"/>
        <v>0</v>
      </c>
      <c r="DS190" s="3">
        <f t="shared" si="186"/>
        <v>0</v>
      </c>
      <c r="DT190" s="3">
        <f t="shared" si="186"/>
        <v>0</v>
      </c>
      <c r="DU190" s="3">
        <f t="shared" si="186"/>
        <v>0</v>
      </c>
      <c r="DV190" s="3">
        <f t="shared" si="186"/>
        <v>0</v>
      </c>
      <c r="DW190" s="3">
        <f t="shared" si="186"/>
        <v>0</v>
      </c>
      <c r="DX190" s="3">
        <f t="shared" si="186"/>
        <v>0</v>
      </c>
      <c r="DY190" s="3">
        <f t="shared" si="186"/>
        <v>0</v>
      </c>
      <c r="DZ190" s="3">
        <f t="shared" si="186"/>
        <v>0</v>
      </c>
      <c r="EA190" s="3">
        <f t="shared" si="186"/>
        <v>0</v>
      </c>
      <c r="EB190" s="3">
        <f t="shared" si="186"/>
        <v>0</v>
      </c>
      <c r="EC190" s="3">
        <f t="shared" si="186"/>
        <v>0</v>
      </c>
      <c r="ED190" s="3">
        <f t="shared" si="186"/>
        <v>0</v>
      </c>
      <c r="EE190" s="3">
        <f t="shared" si="186"/>
        <v>0</v>
      </c>
      <c r="EF190" s="3">
        <f t="shared" si="186"/>
        <v>0</v>
      </c>
      <c r="EG190" s="3">
        <f t="shared" si="186"/>
        <v>0</v>
      </c>
      <c r="EH190" s="3">
        <f t="shared" si="186"/>
        <v>0</v>
      </c>
      <c r="EI190" s="3">
        <f t="shared" si="186"/>
        <v>0</v>
      </c>
      <c r="EJ190" s="3">
        <f t="shared" si="186"/>
        <v>0</v>
      </c>
      <c r="EK190" s="3">
        <f t="shared" si="186"/>
        <v>0</v>
      </c>
      <c r="EL190" s="3">
        <f t="shared" si="186"/>
        <v>0</v>
      </c>
      <c r="EM190" s="3">
        <f t="shared" ref="EM190:FR190" si="187">EM232</f>
        <v>0</v>
      </c>
      <c r="EN190" s="3">
        <f t="shared" si="187"/>
        <v>0</v>
      </c>
      <c r="EO190" s="3">
        <f t="shared" si="187"/>
        <v>0</v>
      </c>
      <c r="EP190" s="3">
        <f t="shared" si="187"/>
        <v>0</v>
      </c>
      <c r="EQ190" s="3">
        <f t="shared" si="187"/>
        <v>0</v>
      </c>
      <c r="ER190" s="3">
        <f t="shared" si="187"/>
        <v>0</v>
      </c>
      <c r="ES190" s="3">
        <f t="shared" si="187"/>
        <v>0</v>
      </c>
      <c r="ET190" s="3">
        <f t="shared" si="187"/>
        <v>0</v>
      </c>
      <c r="EU190" s="3">
        <f t="shared" si="187"/>
        <v>0</v>
      </c>
      <c r="EV190" s="3">
        <f t="shared" si="187"/>
        <v>0</v>
      </c>
      <c r="EW190" s="3">
        <f t="shared" si="187"/>
        <v>0</v>
      </c>
      <c r="EX190" s="3">
        <f t="shared" si="187"/>
        <v>0</v>
      </c>
      <c r="EY190" s="3">
        <f t="shared" si="187"/>
        <v>0</v>
      </c>
      <c r="EZ190" s="3">
        <f t="shared" si="187"/>
        <v>0</v>
      </c>
      <c r="FA190" s="3">
        <f t="shared" si="187"/>
        <v>0</v>
      </c>
      <c r="FB190" s="3">
        <f t="shared" si="187"/>
        <v>0</v>
      </c>
      <c r="FC190" s="3">
        <f t="shared" si="187"/>
        <v>0</v>
      </c>
      <c r="FD190" s="3">
        <f t="shared" si="187"/>
        <v>0</v>
      </c>
      <c r="FE190" s="3">
        <f t="shared" si="187"/>
        <v>0</v>
      </c>
      <c r="FF190" s="3">
        <f t="shared" si="187"/>
        <v>0</v>
      </c>
      <c r="FG190" s="3">
        <f t="shared" si="187"/>
        <v>0</v>
      </c>
      <c r="FH190" s="3">
        <f t="shared" si="187"/>
        <v>0</v>
      </c>
      <c r="FI190" s="3">
        <f t="shared" si="187"/>
        <v>0</v>
      </c>
      <c r="FJ190" s="3">
        <f t="shared" si="187"/>
        <v>0</v>
      </c>
      <c r="FK190" s="3">
        <f t="shared" si="187"/>
        <v>0</v>
      </c>
      <c r="FL190" s="3">
        <f t="shared" si="187"/>
        <v>0</v>
      </c>
      <c r="FM190" s="3">
        <f t="shared" si="187"/>
        <v>0</v>
      </c>
      <c r="FN190" s="3">
        <f t="shared" si="187"/>
        <v>0</v>
      </c>
      <c r="FO190" s="3">
        <f t="shared" si="187"/>
        <v>0</v>
      </c>
      <c r="FP190" s="3">
        <f t="shared" si="187"/>
        <v>0</v>
      </c>
      <c r="FQ190" s="3">
        <f t="shared" si="187"/>
        <v>0</v>
      </c>
      <c r="FR190" s="3">
        <f t="shared" si="187"/>
        <v>0</v>
      </c>
      <c r="FS190" s="3">
        <f t="shared" ref="FS190:GX190" si="188">FS232</f>
        <v>0</v>
      </c>
      <c r="FT190" s="3">
        <f t="shared" si="188"/>
        <v>0</v>
      </c>
      <c r="FU190" s="3">
        <f t="shared" si="188"/>
        <v>0</v>
      </c>
      <c r="FV190" s="3">
        <f t="shared" si="188"/>
        <v>0</v>
      </c>
      <c r="FW190" s="3">
        <f t="shared" si="188"/>
        <v>0</v>
      </c>
      <c r="FX190" s="3">
        <f t="shared" si="188"/>
        <v>0</v>
      </c>
      <c r="FY190" s="3">
        <f t="shared" si="188"/>
        <v>0</v>
      </c>
      <c r="FZ190" s="3">
        <f t="shared" si="188"/>
        <v>0</v>
      </c>
      <c r="GA190" s="3">
        <f t="shared" si="188"/>
        <v>0</v>
      </c>
      <c r="GB190" s="3">
        <f t="shared" si="188"/>
        <v>0</v>
      </c>
      <c r="GC190" s="3">
        <f t="shared" si="188"/>
        <v>0</v>
      </c>
      <c r="GD190" s="3">
        <f t="shared" si="188"/>
        <v>0</v>
      </c>
      <c r="GE190" s="3">
        <f t="shared" si="188"/>
        <v>0</v>
      </c>
      <c r="GF190" s="3">
        <f t="shared" si="188"/>
        <v>0</v>
      </c>
      <c r="GG190" s="3">
        <f t="shared" si="188"/>
        <v>0</v>
      </c>
      <c r="GH190" s="3">
        <f t="shared" si="188"/>
        <v>0</v>
      </c>
      <c r="GI190" s="3">
        <f t="shared" si="188"/>
        <v>0</v>
      </c>
      <c r="GJ190" s="3">
        <f t="shared" si="188"/>
        <v>0</v>
      </c>
      <c r="GK190" s="3">
        <f t="shared" si="188"/>
        <v>0</v>
      </c>
      <c r="GL190" s="3">
        <f t="shared" si="188"/>
        <v>0</v>
      </c>
      <c r="GM190" s="3">
        <f t="shared" si="188"/>
        <v>0</v>
      </c>
      <c r="GN190" s="3">
        <f t="shared" si="188"/>
        <v>0</v>
      </c>
      <c r="GO190" s="3">
        <f t="shared" si="188"/>
        <v>0</v>
      </c>
      <c r="GP190" s="3">
        <f t="shared" si="188"/>
        <v>0</v>
      </c>
      <c r="GQ190" s="3">
        <f t="shared" si="188"/>
        <v>0</v>
      </c>
      <c r="GR190" s="3">
        <f t="shared" si="188"/>
        <v>0</v>
      </c>
      <c r="GS190" s="3">
        <f t="shared" si="188"/>
        <v>0</v>
      </c>
      <c r="GT190" s="3">
        <f t="shared" si="188"/>
        <v>0</v>
      </c>
      <c r="GU190" s="3">
        <f t="shared" si="188"/>
        <v>0</v>
      </c>
      <c r="GV190" s="3">
        <f t="shared" si="188"/>
        <v>0</v>
      </c>
      <c r="GW190" s="3">
        <f t="shared" si="188"/>
        <v>0</v>
      </c>
      <c r="GX190" s="3">
        <f t="shared" si="188"/>
        <v>0</v>
      </c>
    </row>
    <row r="192" spans="1:245" x14ac:dyDescent="0.2">
      <c r="A192">
        <v>19</v>
      </c>
      <c r="B192">
        <v>1</v>
      </c>
      <c r="F192" t="s">
        <v>3</v>
      </c>
      <c r="G192" t="s">
        <v>16</v>
      </c>
      <c r="H192" t="s">
        <v>3</v>
      </c>
      <c r="AA192">
        <v>1</v>
      </c>
      <c r="IK192">
        <v>0</v>
      </c>
    </row>
    <row r="193" spans="1:245" x14ac:dyDescent="0.2">
      <c r="A193">
        <v>17</v>
      </c>
      <c r="B193">
        <v>1</v>
      </c>
      <c r="C193">
        <f>ROW(SmtRes!A183)</f>
        <v>183</v>
      </c>
      <c r="D193">
        <f>ROW(EtalonRes!A290)</f>
        <v>290</v>
      </c>
      <c r="E193" t="s">
        <v>374</v>
      </c>
      <c r="F193" t="s">
        <v>375</v>
      </c>
      <c r="G193" t="s">
        <v>376</v>
      </c>
      <c r="H193" t="s">
        <v>377</v>
      </c>
      <c r="I193">
        <f>ROUND(120/100,9)</f>
        <v>1.2</v>
      </c>
      <c r="J193">
        <v>0</v>
      </c>
      <c r="K193">
        <f>ROUND(120/100,9)</f>
        <v>1.2</v>
      </c>
      <c r="O193">
        <f>ROUND(CP193,2)</f>
        <v>4204.67</v>
      </c>
      <c r="P193">
        <f>ROUND((ROUND((AC193*AW193*I193),2)*BC193),2)</f>
        <v>0</v>
      </c>
      <c r="Q193">
        <f>(ROUND((ROUND(((ET193)*AV193*I193),2)*BB193),2)+ROUND((ROUND(((AE193-(EU193))*AV193*I193),2)*BS193),2))</f>
        <v>0</v>
      </c>
      <c r="R193">
        <f>ROUND((ROUND((AE193*AV193*I193),2)*BS193),2)</f>
        <v>0</v>
      </c>
      <c r="S193">
        <f>ROUND((ROUND((AF193*AV193*I193),2)*BA193),2)</f>
        <v>4204.67</v>
      </c>
      <c r="T193">
        <f>ROUND(CU193*I193,2)</f>
        <v>0</v>
      </c>
      <c r="U193">
        <f>CV193*I193</f>
        <v>13.668000000000001</v>
      </c>
      <c r="V193">
        <f>CW193*I193</f>
        <v>0</v>
      </c>
      <c r="W193">
        <f>ROUND(CX193*I193,2)</f>
        <v>0</v>
      </c>
      <c r="X193">
        <f t="shared" ref="X193:Y197" si="189">ROUND(CY193,2)</f>
        <v>2943.27</v>
      </c>
      <c r="Y193">
        <f t="shared" si="189"/>
        <v>1723.91</v>
      </c>
      <c r="AA193">
        <v>53860087</v>
      </c>
      <c r="AB193">
        <f>ROUND((AC193+AD193+AF193),6)</f>
        <v>116.41</v>
      </c>
      <c r="AC193">
        <f>ROUND((ES193),6)</f>
        <v>0</v>
      </c>
      <c r="AD193">
        <f>ROUND((((ET193)-(EU193))+AE193),6)</f>
        <v>0</v>
      </c>
      <c r="AE193">
        <f>ROUND((EU193),6)</f>
        <v>0</v>
      </c>
      <c r="AF193">
        <f>ROUND((EV193),6)</f>
        <v>116.41</v>
      </c>
      <c r="AG193">
        <f>ROUND((AP193),6)</f>
        <v>0</v>
      </c>
      <c r="AH193">
        <f>(EW193)</f>
        <v>11.39</v>
      </c>
      <c r="AI193">
        <f>(EX193)</f>
        <v>0</v>
      </c>
      <c r="AJ193">
        <f>(AS193)</f>
        <v>0</v>
      </c>
      <c r="AK193">
        <v>116.41</v>
      </c>
      <c r="AL193">
        <v>0</v>
      </c>
      <c r="AM193">
        <v>0</v>
      </c>
      <c r="AN193">
        <v>0</v>
      </c>
      <c r="AO193">
        <v>116.41</v>
      </c>
      <c r="AP193">
        <v>0</v>
      </c>
      <c r="AQ193">
        <v>11.39</v>
      </c>
      <c r="AR193">
        <v>0</v>
      </c>
      <c r="AS193">
        <v>0</v>
      </c>
      <c r="AT193">
        <v>70</v>
      </c>
      <c r="AU193">
        <v>41</v>
      </c>
      <c r="AV193">
        <v>1</v>
      </c>
      <c r="AW193">
        <v>1</v>
      </c>
      <c r="AZ193">
        <v>1</v>
      </c>
      <c r="BA193">
        <v>30.1</v>
      </c>
      <c r="BB193">
        <v>1</v>
      </c>
      <c r="BC193">
        <v>1</v>
      </c>
      <c r="BD193" t="s">
        <v>3</v>
      </c>
      <c r="BE193" t="s">
        <v>3</v>
      </c>
      <c r="BF193" t="s">
        <v>3</v>
      </c>
      <c r="BG193" t="s">
        <v>3</v>
      </c>
      <c r="BH193">
        <v>0</v>
      </c>
      <c r="BI193">
        <v>1</v>
      </c>
      <c r="BJ193" t="s">
        <v>378</v>
      </c>
      <c r="BM193">
        <v>439</v>
      </c>
      <c r="BN193">
        <v>36862081</v>
      </c>
      <c r="BO193" t="s">
        <v>375</v>
      </c>
      <c r="BP193">
        <v>1</v>
      </c>
      <c r="BQ193">
        <v>60</v>
      </c>
      <c r="BR193">
        <v>0</v>
      </c>
      <c r="BS193">
        <v>30.1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70</v>
      </c>
      <c r="CA193">
        <v>41</v>
      </c>
      <c r="CB193" t="s">
        <v>3</v>
      </c>
      <c r="CE193">
        <v>30</v>
      </c>
      <c r="CF193">
        <v>0</v>
      </c>
      <c r="CG193">
        <v>0</v>
      </c>
      <c r="CM193">
        <v>0</v>
      </c>
      <c r="CN193" t="s">
        <v>3</v>
      </c>
      <c r="CO193">
        <v>0</v>
      </c>
      <c r="CP193">
        <f>(P193+Q193+S193)</f>
        <v>4204.67</v>
      </c>
      <c r="CQ193">
        <f>ROUND((ROUND((AC193*AW193*1),2)*BC193),2)</f>
        <v>0</v>
      </c>
      <c r="CR193">
        <f>(ROUND((ROUND(((ET193)*AV193*1),2)*BB193),2)+ROUND((ROUND(((AE193-(EU193))*AV193*1),2)*BS193),2))</f>
        <v>0</v>
      </c>
      <c r="CS193">
        <f>ROUND((ROUND((AE193*AV193*1),2)*BS193),2)</f>
        <v>0</v>
      </c>
      <c r="CT193">
        <f>ROUND((ROUND((AF193*AV193*1),2)*BA193),2)</f>
        <v>3503.94</v>
      </c>
      <c r="CU193">
        <f>AG193</f>
        <v>0</v>
      </c>
      <c r="CV193">
        <f>(AH193*AV193)</f>
        <v>11.39</v>
      </c>
      <c r="CW193">
        <f t="shared" ref="CW193:CX197" si="190">AI193</f>
        <v>0</v>
      </c>
      <c r="CX193">
        <f t="shared" si="190"/>
        <v>0</v>
      </c>
      <c r="CY193">
        <f>S193*(BZ193/100)</f>
        <v>2943.2689999999998</v>
      </c>
      <c r="CZ193">
        <f>S193*(CA193/100)</f>
        <v>1723.9147</v>
      </c>
      <c r="DC193" t="s">
        <v>3</v>
      </c>
      <c r="DD193" t="s">
        <v>3</v>
      </c>
      <c r="DE193" t="s">
        <v>3</v>
      </c>
      <c r="DF193" t="s">
        <v>3</v>
      </c>
      <c r="DG193" t="s">
        <v>3</v>
      </c>
      <c r="DH193" t="s">
        <v>3</v>
      </c>
      <c r="DI193" t="s">
        <v>3</v>
      </c>
      <c r="DJ193" t="s">
        <v>3</v>
      </c>
      <c r="DK193" t="s">
        <v>3</v>
      </c>
      <c r="DL193" t="s">
        <v>3</v>
      </c>
      <c r="DM193" t="s">
        <v>3</v>
      </c>
      <c r="DN193">
        <v>80</v>
      </c>
      <c r="DO193">
        <v>55</v>
      </c>
      <c r="DP193">
        <v>1</v>
      </c>
      <c r="DQ193">
        <v>1</v>
      </c>
      <c r="DU193">
        <v>1013</v>
      </c>
      <c r="DV193" t="s">
        <v>377</v>
      </c>
      <c r="DW193" t="s">
        <v>377</v>
      </c>
      <c r="DX193">
        <v>1</v>
      </c>
      <c r="DZ193" t="s">
        <v>3</v>
      </c>
      <c r="EA193" t="s">
        <v>3</v>
      </c>
      <c r="EB193" t="s">
        <v>3</v>
      </c>
      <c r="EC193" t="s">
        <v>3</v>
      </c>
      <c r="EE193">
        <v>53213188</v>
      </c>
      <c r="EF193">
        <v>60</v>
      </c>
      <c r="EG193" t="s">
        <v>22</v>
      </c>
      <c r="EH193">
        <v>0</v>
      </c>
      <c r="EI193" t="s">
        <v>3</v>
      </c>
      <c r="EJ193">
        <v>1</v>
      </c>
      <c r="EK193">
        <v>439</v>
      </c>
      <c r="EL193" t="s">
        <v>379</v>
      </c>
      <c r="EM193" t="s">
        <v>380</v>
      </c>
      <c r="EO193" t="s">
        <v>3</v>
      </c>
      <c r="EQ193">
        <v>131072</v>
      </c>
      <c r="ER193">
        <v>116.41</v>
      </c>
      <c r="ES193">
        <v>0</v>
      </c>
      <c r="ET193">
        <v>0</v>
      </c>
      <c r="EU193">
        <v>0</v>
      </c>
      <c r="EV193">
        <v>116.41</v>
      </c>
      <c r="EW193">
        <v>11.39</v>
      </c>
      <c r="EX193">
        <v>0</v>
      </c>
      <c r="EY193">
        <v>0</v>
      </c>
      <c r="FQ193">
        <v>0</v>
      </c>
      <c r="FR193">
        <f>ROUND(IF(BI193=3,GM193,0),2)</f>
        <v>0</v>
      </c>
      <c r="FS193">
        <v>0</v>
      </c>
      <c r="FX193">
        <v>80</v>
      </c>
      <c r="FY193">
        <v>55</v>
      </c>
      <c r="GA193" t="s">
        <v>3</v>
      </c>
      <c r="GD193">
        <v>0</v>
      </c>
      <c r="GF193">
        <v>964169754</v>
      </c>
      <c r="GG193">
        <v>2</v>
      </c>
      <c r="GH193">
        <v>1</v>
      </c>
      <c r="GI193">
        <v>2</v>
      </c>
      <c r="GJ193">
        <v>0</v>
      </c>
      <c r="GK193">
        <f>ROUND(R193*(R12)/100,2)</f>
        <v>0</v>
      </c>
      <c r="GL193">
        <f>ROUND(IF(AND(BH193=3,BI193=3,FS193&lt;&gt;0),P193,0),2)</f>
        <v>0</v>
      </c>
      <c r="GM193">
        <f>ROUND(O193+X193+Y193+GK193,2)+GX193</f>
        <v>8871.85</v>
      </c>
      <c r="GN193">
        <f>IF(OR(BI193=0,BI193=1),GM193,0)</f>
        <v>8871.85</v>
      </c>
      <c r="GO193">
        <f>IF(BI193=2,GM193,0)</f>
        <v>0</v>
      </c>
      <c r="GP193">
        <f>IF(BI193=4,GM193+GX193,0)</f>
        <v>0</v>
      </c>
      <c r="GR193">
        <v>0</v>
      </c>
      <c r="GS193">
        <v>3</v>
      </c>
      <c r="GT193">
        <v>0</v>
      </c>
      <c r="GU193" t="s">
        <v>3</v>
      </c>
      <c r="GV193">
        <f>ROUND((GT193),6)</f>
        <v>0</v>
      </c>
      <c r="GW193">
        <v>1</v>
      </c>
      <c r="GX193">
        <f>ROUND(HC193*I193,2)</f>
        <v>0</v>
      </c>
      <c r="HA193">
        <v>0</v>
      </c>
      <c r="HB193">
        <v>0</v>
      </c>
      <c r="HC193">
        <f>GV193*GW193</f>
        <v>0</v>
      </c>
      <c r="HE193" t="s">
        <v>3</v>
      </c>
      <c r="HF193" t="s">
        <v>3</v>
      </c>
      <c r="HM193" t="s">
        <v>3</v>
      </c>
      <c r="HN193" t="s">
        <v>3</v>
      </c>
      <c r="HO193" t="s">
        <v>3</v>
      </c>
      <c r="HP193" t="s">
        <v>3</v>
      </c>
      <c r="HQ193" t="s">
        <v>3</v>
      </c>
      <c r="IK193">
        <v>0</v>
      </c>
    </row>
    <row r="194" spans="1:245" x14ac:dyDescent="0.2">
      <c r="A194">
        <v>17</v>
      </c>
      <c r="B194">
        <v>1</v>
      </c>
      <c r="C194">
        <f>ROW(SmtRes!A185)</f>
        <v>185</v>
      </c>
      <c r="D194">
        <f>ROW(EtalonRes!A292)</f>
        <v>292</v>
      </c>
      <c r="E194" t="s">
        <v>381</v>
      </c>
      <c r="F194" t="s">
        <v>382</v>
      </c>
      <c r="G194" t="s">
        <v>383</v>
      </c>
      <c r="H194" t="s">
        <v>384</v>
      </c>
      <c r="I194">
        <f>ROUND(150/100,9)</f>
        <v>1.5</v>
      </c>
      <c r="J194">
        <v>0</v>
      </c>
      <c r="K194">
        <f>ROUND(150/100,9)</f>
        <v>1.5</v>
      </c>
      <c r="O194">
        <f>ROUND(CP194,2)</f>
        <v>1739.78</v>
      </c>
      <c r="P194">
        <f>ROUND((ROUND((AC194*AW194*I194),2)*BC194),2)</f>
        <v>0</v>
      </c>
      <c r="Q194">
        <f>(ROUND((ROUND(((ET194)*AV194*I194),2)*BB194),2)+ROUND((ROUND(((AE194-(EU194))*AV194*I194),2)*BS194),2))</f>
        <v>0</v>
      </c>
      <c r="R194">
        <f>ROUND((ROUND((AE194*AV194*I194),2)*BS194),2)</f>
        <v>0</v>
      </c>
      <c r="S194">
        <f>ROUND((ROUND((AF194*AV194*I194),2)*BA194),2)</f>
        <v>1739.78</v>
      </c>
      <c r="T194">
        <f>ROUND(CU194*I194,2)</f>
        <v>0</v>
      </c>
      <c r="U194">
        <f>CV194*I194</f>
        <v>5.6550000000000002</v>
      </c>
      <c r="V194">
        <f>CW194*I194</f>
        <v>0</v>
      </c>
      <c r="W194">
        <f>ROUND(CX194*I194,2)</f>
        <v>0</v>
      </c>
      <c r="X194">
        <f t="shared" si="189"/>
        <v>1217.8499999999999</v>
      </c>
      <c r="Y194">
        <f t="shared" si="189"/>
        <v>713.31</v>
      </c>
      <c r="AA194">
        <v>53860087</v>
      </c>
      <c r="AB194">
        <f>ROUND((AC194+AD194+AF194),6)</f>
        <v>38.53</v>
      </c>
      <c r="AC194">
        <f>ROUND((ES194),6)</f>
        <v>0</v>
      </c>
      <c r="AD194">
        <f>ROUND((((ET194)-(EU194))+AE194),6)</f>
        <v>0</v>
      </c>
      <c r="AE194">
        <f>ROUND((EU194),6)</f>
        <v>0</v>
      </c>
      <c r="AF194">
        <f>ROUND((EV194),6)</f>
        <v>38.53</v>
      </c>
      <c r="AG194">
        <f>ROUND((AP194),6)</f>
        <v>0</v>
      </c>
      <c r="AH194">
        <f>(EW194)</f>
        <v>3.77</v>
      </c>
      <c r="AI194">
        <f>(EX194)</f>
        <v>0</v>
      </c>
      <c r="AJ194">
        <f>(AS194)</f>
        <v>0</v>
      </c>
      <c r="AK194">
        <v>38.53</v>
      </c>
      <c r="AL194">
        <v>0</v>
      </c>
      <c r="AM194">
        <v>0</v>
      </c>
      <c r="AN194">
        <v>0</v>
      </c>
      <c r="AO194">
        <v>38.53</v>
      </c>
      <c r="AP194">
        <v>0</v>
      </c>
      <c r="AQ194">
        <v>3.77</v>
      </c>
      <c r="AR194">
        <v>0</v>
      </c>
      <c r="AS194">
        <v>0</v>
      </c>
      <c r="AT194">
        <v>70</v>
      </c>
      <c r="AU194">
        <v>41</v>
      </c>
      <c r="AV194">
        <v>1</v>
      </c>
      <c r="AW194">
        <v>1</v>
      </c>
      <c r="AZ194">
        <v>1</v>
      </c>
      <c r="BA194">
        <v>30.1</v>
      </c>
      <c r="BB194">
        <v>1</v>
      </c>
      <c r="BC194">
        <v>1</v>
      </c>
      <c r="BD194" t="s">
        <v>3</v>
      </c>
      <c r="BE194" t="s">
        <v>3</v>
      </c>
      <c r="BF194" t="s">
        <v>3</v>
      </c>
      <c r="BG194" t="s">
        <v>3</v>
      </c>
      <c r="BH194">
        <v>0</v>
      </c>
      <c r="BI194">
        <v>1</v>
      </c>
      <c r="BJ194" t="s">
        <v>385</v>
      </c>
      <c r="BM194">
        <v>439</v>
      </c>
      <c r="BN194">
        <v>36862081</v>
      </c>
      <c r="BO194" t="s">
        <v>382</v>
      </c>
      <c r="BP194">
        <v>1</v>
      </c>
      <c r="BQ194">
        <v>60</v>
      </c>
      <c r="BR194">
        <v>0</v>
      </c>
      <c r="BS194">
        <v>30.1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70</v>
      </c>
      <c r="CA194">
        <v>41</v>
      </c>
      <c r="CB194" t="s">
        <v>3</v>
      </c>
      <c r="CE194">
        <v>30</v>
      </c>
      <c r="CF194">
        <v>0</v>
      </c>
      <c r="CG194">
        <v>0</v>
      </c>
      <c r="CM194">
        <v>0</v>
      </c>
      <c r="CN194" t="s">
        <v>3</v>
      </c>
      <c r="CO194">
        <v>0</v>
      </c>
      <c r="CP194">
        <f>(P194+Q194+S194)</f>
        <v>1739.78</v>
      </c>
      <c r="CQ194">
        <f>ROUND((ROUND((AC194*AW194*1),2)*BC194),2)</f>
        <v>0</v>
      </c>
      <c r="CR194">
        <f>(ROUND((ROUND(((ET194)*AV194*1),2)*BB194),2)+ROUND((ROUND(((AE194-(EU194))*AV194*1),2)*BS194),2))</f>
        <v>0</v>
      </c>
      <c r="CS194">
        <f>ROUND((ROUND((AE194*AV194*1),2)*BS194),2)</f>
        <v>0</v>
      </c>
      <c r="CT194">
        <f>ROUND((ROUND((AF194*AV194*1),2)*BA194),2)</f>
        <v>1159.75</v>
      </c>
      <c r="CU194">
        <f>AG194</f>
        <v>0</v>
      </c>
      <c r="CV194">
        <f>(AH194*AV194)</f>
        <v>3.77</v>
      </c>
      <c r="CW194">
        <f t="shared" si="190"/>
        <v>0</v>
      </c>
      <c r="CX194">
        <f t="shared" si="190"/>
        <v>0</v>
      </c>
      <c r="CY194">
        <f>S194*(BZ194/100)</f>
        <v>1217.846</v>
      </c>
      <c r="CZ194">
        <f>S194*(CA194/100)</f>
        <v>713.3098</v>
      </c>
      <c r="DC194" t="s">
        <v>3</v>
      </c>
      <c r="DD194" t="s">
        <v>3</v>
      </c>
      <c r="DE194" t="s">
        <v>3</v>
      </c>
      <c r="DF194" t="s">
        <v>3</v>
      </c>
      <c r="DG194" t="s">
        <v>3</v>
      </c>
      <c r="DH194" t="s">
        <v>3</v>
      </c>
      <c r="DI194" t="s">
        <v>3</v>
      </c>
      <c r="DJ194" t="s">
        <v>3</v>
      </c>
      <c r="DK194" t="s">
        <v>3</v>
      </c>
      <c r="DL194" t="s">
        <v>3</v>
      </c>
      <c r="DM194" t="s">
        <v>3</v>
      </c>
      <c r="DN194">
        <v>80</v>
      </c>
      <c r="DO194">
        <v>55</v>
      </c>
      <c r="DP194">
        <v>1</v>
      </c>
      <c r="DQ194">
        <v>1</v>
      </c>
      <c r="DU194">
        <v>1013</v>
      </c>
      <c r="DV194" t="s">
        <v>384</v>
      </c>
      <c r="DW194" t="s">
        <v>384</v>
      </c>
      <c r="DX194">
        <v>1</v>
      </c>
      <c r="DZ194" t="s">
        <v>3</v>
      </c>
      <c r="EA194" t="s">
        <v>3</v>
      </c>
      <c r="EB194" t="s">
        <v>3</v>
      </c>
      <c r="EC194" t="s">
        <v>3</v>
      </c>
      <c r="EE194">
        <v>53213188</v>
      </c>
      <c r="EF194">
        <v>60</v>
      </c>
      <c r="EG194" t="s">
        <v>22</v>
      </c>
      <c r="EH194">
        <v>0</v>
      </c>
      <c r="EI194" t="s">
        <v>3</v>
      </c>
      <c r="EJ194">
        <v>1</v>
      </c>
      <c r="EK194">
        <v>439</v>
      </c>
      <c r="EL194" t="s">
        <v>379</v>
      </c>
      <c r="EM194" t="s">
        <v>380</v>
      </c>
      <c r="EO194" t="s">
        <v>3</v>
      </c>
      <c r="EQ194">
        <v>131072</v>
      </c>
      <c r="ER194">
        <v>38.53</v>
      </c>
      <c r="ES194">
        <v>0</v>
      </c>
      <c r="ET194">
        <v>0</v>
      </c>
      <c r="EU194">
        <v>0</v>
      </c>
      <c r="EV194">
        <v>38.53</v>
      </c>
      <c r="EW194">
        <v>3.77</v>
      </c>
      <c r="EX194">
        <v>0</v>
      </c>
      <c r="EY194">
        <v>0</v>
      </c>
      <c r="FQ194">
        <v>0</v>
      </c>
      <c r="FR194">
        <f>ROUND(IF(BI194=3,GM194,0),2)</f>
        <v>0</v>
      </c>
      <c r="FS194">
        <v>0</v>
      </c>
      <c r="FX194">
        <v>80</v>
      </c>
      <c r="FY194">
        <v>55</v>
      </c>
      <c r="GA194" t="s">
        <v>3</v>
      </c>
      <c r="GD194">
        <v>0</v>
      </c>
      <c r="GF194">
        <v>-759452461</v>
      </c>
      <c r="GG194">
        <v>2</v>
      </c>
      <c r="GH194">
        <v>1</v>
      </c>
      <c r="GI194">
        <v>2</v>
      </c>
      <c r="GJ194">
        <v>0</v>
      </c>
      <c r="GK194">
        <f>ROUND(R194*(R12)/100,2)</f>
        <v>0</v>
      </c>
      <c r="GL194">
        <f>ROUND(IF(AND(BH194=3,BI194=3,FS194&lt;&gt;0),P194,0),2)</f>
        <v>0</v>
      </c>
      <c r="GM194">
        <f>ROUND(O194+X194+Y194+GK194,2)+GX194</f>
        <v>3670.94</v>
      </c>
      <c r="GN194">
        <f>IF(OR(BI194=0,BI194=1),GM194,0)</f>
        <v>3670.94</v>
      </c>
      <c r="GO194">
        <f>IF(BI194=2,GM194,0)</f>
        <v>0</v>
      </c>
      <c r="GP194">
        <f>IF(BI194=4,GM194+GX194,0)</f>
        <v>0</v>
      </c>
      <c r="GR194">
        <v>0</v>
      </c>
      <c r="GS194">
        <v>3</v>
      </c>
      <c r="GT194">
        <v>0</v>
      </c>
      <c r="GU194" t="s">
        <v>3</v>
      </c>
      <c r="GV194">
        <f>ROUND((GT194),6)</f>
        <v>0</v>
      </c>
      <c r="GW194">
        <v>1</v>
      </c>
      <c r="GX194">
        <f>ROUND(HC194*I194,2)</f>
        <v>0</v>
      </c>
      <c r="HA194">
        <v>0</v>
      </c>
      <c r="HB194">
        <v>0</v>
      </c>
      <c r="HC194">
        <f>GV194*GW194</f>
        <v>0</v>
      </c>
      <c r="HE194" t="s">
        <v>3</v>
      </c>
      <c r="HF194" t="s">
        <v>3</v>
      </c>
      <c r="HM194" t="s">
        <v>3</v>
      </c>
      <c r="HN194" t="s">
        <v>3</v>
      </c>
      <c r="HO194" t="s">
        <v>3</v>
      </c>
      <c r="HP194" t="s">
        <v>3</v>
      </c>
      <c r="HQ194" t="s">
        <v>3</v>
      </c>
      <c r="IK194">
        <v>0</v>
      </c>
    </row>
    <row r="195" spans="1:245" x14ac:dyDescent="0.2">
      <c r="A195">
        <v>17</v>
      </c>
      <c r="B195">
        <v>1</v>
      </c>
      <c r="D195">
        <f>ROW(EtalonRes!A296)</f>
        <v>296</v>
      </c>
      <c r="E195" t="s">
        <v>386</v>
      </c>
      <c r="F195" t="s">
        <v>387</v>
      </c>
      <c r="G195" t="s">
        <v>388</v>
      </c>
      <c r="H195" t="s">
        <v>377</v>
      </c>
      <c r="I195">
        <f>ROUND(150/100,9)</f>
        <v>1.5</v>
      </c>
      <c r="J195">
        <v>0</v>
      </c>
      <c r="K195">
        <f>ROUND(150/100,9)</f>
        <v>1.5</v>
      </c>
      <c r="O195">
        <f>ROUND(CP195,2)</f>
        <v>21942.99</v>
      </c>
      <c r="P195">
        <f>ROUND((ROUND((AC195*AW195*I195),2)*BC195),2)</f>
        <v>0</v>
      </c>
      <c r="Q195">
        <f>(ROUND((ROUND((((ET195*0.6))*AV195*I195),2)*BB195),2)+ROUND((ROUND(((AE195-((EU195*0.6)))*AV195*I195),2)*BS195),2))</f>
        <v>781.49</v>
      </c>
      <c r="R195">
        <f>ROUND((ROUND((AE195*AV195*I195),2)*BS195),2)</f>
        <v>492.14</v>
      </c>
      <c r="S195">
        <f>ROUND((ROUND((AF195*AV195*I195),2)*BA195),2)</f>
        <v>21161.5</v>
      </c>
      <c r="T195">
        <f>ROUND(CU195*I195,2)</f>
        <v>0</v>
      </c>
      <c r="U195">
        <f>CV195*I195</f>
        <v>62.88300000000001</v>
      </c>
      <c r="V195">
        <f>CW195*I195</f>
        <v>0</v>
      </c>
      <c r="W195">
        <f>ROUND(CX195*I195,2)</f>
        <v>0</v>
      </c>
      <c r="X195">
        <f t="shared" si="189"/>
        <v>14813.05</v>
      </c>
      <c r="Y195">
        <f t="shared" si="189"/>
        <v>8676.2199999999993</v>
      </c>
      <c r="AA195">
        <v>53860087</v>
      </c>
      <c r="AB195">
        <f>ROUND((AC195+AD195+AF195),6)</f>
        <v>498.91199999999998</v>
      </c>
      <c r="AC195">
        <f>ROUND((ES195),6)</f>
        <v>0</v>
      </c>
      <c r="AD195">
        <f>ROUND(((((ET195*0.6))-((EU195*0.6)))+AE195),6)</f>
        <v>30.222000000000001</v>
      </c>
      <c r="AE195">
        <f>ROUND(((EU195*0.6)),6)</f>
        <v>10.901999999999999</v>
      </c>
      <c r="AF195">
        <f>ROUND(((EV195*0.6)),6)</f>
        <v>468.69</v>
      </c>
      <c r="AG195">
        <f>ROUND((AP195),6)</f>
        <v>0</v>
      </c>
      <c r="AH195">
        <f>((EW195*0.6))</f>
        <v>41.922000000000004</v>
      </c>
      <c r="AI195">
        <f>((EX195*0.6))</f>
        <v>0</v>
      </c>
      <c r="AJ195">
        <f>(AS195)</f>
        <v>0</v>
      </c>
      <c r="AK195">
        <v>831.52</v>
      </c>
      <c r="AL195">
        <v>0</v>
      </c>
      <c r="AM195">
        <v>50.37</v>
      </c>
      <c r="AN195">
        <v>18.170000000000002</v>
      </c>
      <c r="AO195">
        <v>781.15</v>
      </c>
      <c r="AP195">
        <v>0</v>
      </c>
      <c r="AQ195">
        <v>69.87</v>
      </c>
      <c r="AR195">
        <v>0</v>
      </c>
      <c r="AS195">
        <v>0</v>
      </c>
      <c r="AT195">
        <v>70</v>
      </c>
      <c r="AU195">
        <v>41</v>
      </c>
      <c r="AV195">
        <v>1</v>
      </c>
      <c r="AW195">
        <v>1</v>
      </c>
      <c r="AZ195">
        <v>1</v>
      </c>
      <c r="BA195">
        <v>30.1</v>
      </c>
      <c r="BB195">
        <v>17.239999999999998</v>
      </c>
      <c r="BC195">
        <v>1</v>
      </c>
      <c r="BD195" t="s">
        <v>3</v>
      </c>
      <c r="BE195" t="s">
        <v>3</v>
      </c>
      <c r="BF195" t="s">
        <v>3</v>
      </c>
      <c r="BG195" t="s">
        <v>3</v>
      </c>
      <c r="BH195">
        <v>0</v>
      </c>
      <c r="BI195">
        <v>1</v>
      </c>
      <c r="BJ195" t="s">
        <v>389</v>
      </c>
      <c r="BM195">
        <v>439</v>
      </c>
      <c r="BN195">
        <v>36862081</v>
      </c>
      <c r="BO195" t="s">
        <v>387</v>
      </c>
      <c r="BP195">
        <v>1</v>
      </c>
      <c r="BQ195">
        <v>60</v>
      </c>
      <c r="BR195">
        <v>0</v>
      </c>
      <c r="BS195">
        <v>30.1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</v>
      </c>
      <c r="BZ195">
        <v>70</v>
      </c>
      <c r="CA195">
        <v>41</v>
      </c>
      <c r="CB195" t="s">
        <v>3</v>
      </c>
      <c r="CE195">
        <v>30</v>
      </c>
      <c r="CF195">
        <v>0</v>
      </c>
      <c r="CG195">
        <v>0</v>
      </c>
      <c r="CM195">
        <v>0</v>
      </c>
      <c r="CN195" t="s">
        <v>3</v>
      </c>
      <c r="CO195">
        <v>0</v>
      </c>
      <c r="CP195">
        <f>(P195+Q195+S195)</f>
        <v>21942.99</v>
      </c>
      <c r="CQ195">
        <f>ROUND((ROUND((AC195*AW195*1),2)*BC195),2)</f>
        <v>0</v>
      </c>
      <c r="CR195">
        <f>(ROUND((ROUND((((ET195*0.6))*AV195*1),2)*BB195),2)+ROUND((ROUND(((AE195-((EU195*0.6)))*AV195*1),2)*BS195),2))</f>
        <v>520.99</v>
      </c>
      <c r="CS195">
        <f>ROUND((ROUND((AE195*AV195*1),2)*BS195),2)</f>
        <v>328.09</v>
      </c>
      <c r="CT195">
        <f>ROUND((ROUND((AF195*AV195*1),2)*BA195),2)</f>
        <v>14107.57</v>
      </c>
      <c r="CU195">
        <f>AG195</f>
        <v>0</v>
      </c>
      <c r="CV195">
        <f>(AH195*AV195)</f>
        <v>41.922000000000004</v>
      </c>
      <c r="CW195">
        <f t="shared" si="190"/>
        <v>0</v>
      </c>
      <c r="CX195">
        <f t="shared" si="190"/>
        <v>0</v>
      </c>
      <c r="CY195">
        <f>S195*(BZ195/100)</f>
        <v>14813.05</v>
      </c>
      <c r="CZ195">
        <f>S195*(CA195/100)</f>
        <v>8676.2150000000001</v>
      </c>
      <c r="DC195" t="s">
        <v>3</v>
      </c>
      <c r="DD195" t="s">
        <v>3</v>
      </c>
      <c r="DE195" t="s">
        <v>218</v>
      </c>
      <c r="DF195" t="s">
        <v>218</v>
      </c>
      <c r="DG195" t="s">
        <v>218</v>
      </c>
      <c r="DH195" t="s">
        <v>3</v>
      </c>
      <c r="DI195" t="s">
        <v>218</v>
      </c>
      <c r="DJ195" t="s">
        <v>218</v>
      </c>
      <c r="DK195" t="s">
        <v>3</v>
      </c>
      <c r="DL195" t="s">
        <v>3</v>
      </c>
      <c r="DM195" t="s">
        <v>3</v>
      </c>
      <c r="DN195">
        <v>80</v>
      </c>
      <c r="DO195">
        <v>55</v>
      </c>
      <c r="DP195">
        <v>1</v>
      </c>
      <c r="DQ195">
        <v>1</v>
      </c>
      <c r="DU195">
        <v>1013</v>
      </c>
      <c r="DV195" t="s">
        <v>377</v>
      </c>
      <c r="DW195" t="s">
        <v>377</v>
      </c>
      <c r="DX195">
        <v>1</v>
      </c>
      <c r="DZ195" t="s">
        <v>3</v>
      </c>
      <c r="EA195" t="s">
        <v>3</v>
      </c>
      <c r="EB195" t="s">
        <v>3</v>
      </c>
      <c r="EC195" t="s">
        <v>3</v>
      </c>
      <c r="EE195">
        <v>53213188</v>
      </c>
      <c r="EF195">
        <v>60</v>
      </c>
      <c r="EG195" t="s">
        <v>22</v>
      </c>
      <c r="EH195">
        <v>0</v>
      </c>
      <c r="EI195" t="s">
        <v>3</v>
      </c>
      <c r="EJ195">
        <v>1</v>
      </c>
      <c r="EK195">
        <v>439</v>
      </c>
      <c r="EL195" t="s">
        <v>379</v>
      </c>
      <c r="EM195" t="s">
        <v>380</v>
      </c>
      <c r="EO195" t="s">
        <v>3</v>
      </c>
      <c r="EQ195">
        <v>131072</v>
      </c>
      <c r="ER195">
        <v>831.52</v>
      </c>
      <c r="ES195">
        <v>0</v>
      </c>
      <c r="ET195">
        <v>50.37</v>
      </c>
      <c r="EU195">
        <v>18.170000000000002</v>
      </c>
      <c r="EV195">
        <v>781.15</v>
      </c>
      <c r="EW195">
        <v>69.87</v>
      </c>
      <c r="EX195">
        <v>0</v>
      </c>
      <c r="EY195">
        <v>0</v>
      </c>
      <c r="FQ195">
        <v>0</v>
      </c>
      <c r="FR195">
        <f>ROUND(IF(BI195=3,GM195,0),2)</f>
        <v>0</v>
      </c>
      <c r="FS195">
        <v>0</v>
      </c>
      <c r="FX195">
        <v>80</v>
      </c>
      <c r="FY195">
        <v>55</v>
      </c>
      <c r="GA195" t="s">
        <v>3</v>
      </c>
      <c r="GD195">
        <v>0</v>
      </c>
      <c r="GF195">
        <v>-2137870145</v>
      </c>
      <c r="GG195">
        <v>2</v>
      </c>
      <c r="GH195">
        <v>1</v>
      </c>
      <c r="GI195">
        <v>2</v>
      </c>
      <c r="GJ195">
        <v>0</v>
      </c>
      <c r="GK195">
        <f>ROUND(R195*(R12)/100,2)</f>
        <v>787.42</v>
      </c>
      <c r="GL195">
        <f>ROUND(IF(AND(BH195=3,BI195=3,FS195&lt;&gt;0),P195,0),2)</f>
        <v>0</v>
      </c>
      <c r="GM195">
        <f>ROUND(O195+X195+Y195+GK195,2)+GX195</f>
        <v>46219.68</v>
      </c>
      <c r="GN195">
        <f>IF(OR(BI195=0,BI195=1),GM195,0)</f>
        <v>46219.68</v>
      </c>
      <c r="GO195">
        <f>IF(BI195=2,GM195,0)</f>
        <v>0</v>
      </c>
      <c r="GP195">
        <f>IF(BI195=4,GM195+GX195,0)</f>
        <v>0</v>
      </c>
      <c r="GR195">
        <v>0</v>
      </c>
      <c r="GS195">
        <v>3</v>
      </c>
      <c r="GT195">
        <v>0</v>
      </c>
      <c r="GU195" t="s">
        <v>3</v>
      </c>
      <c r="GV195">
        <f>ROUND((GT195),6)</f>
        <v>0</v>
      </c>
      <c r="GW195">
        <v>1</v>
      </c>
      <c r="GX195">
        <f>ROUND(HC195*I195,2)</f>
        <v>0</v>
      </c>
      <c r="HA195">
        <v>0</v>
      </c>
      <c r="HB195">
        <v>0</v>
      </c>
      <c r="HC195">
        <f>GV195*GW195</f>
        <v>0</v>
      </c>
      <c r="HE195" t="s">
        <v>3</v>
      </c>
      <c r="HF195" t="s">
        <v>3</v>
      </c>
      <c r="HM195" t="s">
        <v>3</v>
      </c>
      <c r="HN195" t="s">
        <v>3</v>
      </c>
      <c r="HO195" t="s">
        <v>3</v>
      </c>
      <c r="HP195" t="s">
        <v>3</v>
      </c>
      <c r="HQ195" t="s">
        <v>3</v>
      </c>
      <c r="IK195">
        <v>0</v>
      </c>
    </row>
    <row r="196" spans="1:245" x14ac:dyDescent="0.2">
      <c r="A196">
        <v>17</v>
      </c>
      <c r="B196">
        <v>1</v>
      </c>
      <c r="C196">
        <f>ROW(SmtRes!A189)</f>
        <v>189</v>
      </c>
      <c r="D196">
        <f>ROW(EtalonRes!A300)</f>
        <v>300</v>
      </c>
      <c r="E196" t="s">
        <v>390</v>
      </c>
      <c r="F196" t="s">
        <v>391</v>
      </c>
      <c r="G196" t="s">
        <v>392</v>
      </c>
      <c r="H196" t="s">
        <v>377</v>
      </c>
      <c r="I196">
        <f>ROUND((150+120)/100,9)</f>
        <v>2.7</v>
      </c>
      <c r="J196">
        <v>0</v>
      </c>
      <c r="K196">
        <f>ROUND((150+120)/100,9)</f>
        <v>2.7</v>
      </c>
      <c r="O196">
        <f>ROUND(CP196,2)</f>
        <v>39285.31</v>
      </c>
      <c r="P196">
        <f>ROUND((ROUND((AC196*AW196*I196),2)*BC196),2)</f>
        <v>0</v>
      </c>
      <c r="Q196">
        <f>(ROUND((ROUND(((ET196)*AV196*I196),2)*BB196),2)+ROUND((ROUND(((AE196-(EU196))*AV196*I196),2)*BS196),2))</f>
        <v>16933.650000000001</v>
      </c>
      <c r="R196">
        <f>ROUND((ROUND((AE196*AV196*I196),2)*BS196),2)</f>
        <v>10666.84</v>
      </c>
      <c r="S196">
        <f>ROUND((ROUND((AF196*AV196*I196),2)*BA196),2)</f>
        <v>22351.66</v>
      </c>
      <c r="T196">
        <f>ROUND(CU196*I196,2)</f>
        <v>0</v>
      </c>
      <c r="U196">
        <f>CV196*I196</f>
        <v>66.42</v>
      </c>
      <c r="V196">
        <f>CW196*I196</f>
        <v>0</v>
      </c>
      <c r="W196">
        <f>ROUND(CX196*I196,2)</f>
        <v>0</v>
      </c>
      <c r="X196">
        <f t="shared" si="189"/>
        <v>15646.16</v>
      </c>
      <c r="Y196">
        <f t="shared" si="189"/>
        <v>9164.18</v>
      </c>
      <c r="AA196">
        <v>53860087</v>
      </c>
      <c r="AB196">
        <f>ROUND((AC196+AD196+AF196),6)</f>
        <v>638.82000000000005</v>
      </c>
      <c r="AC196">
        <f>ROUND((ES196),6)</f>
        <v>0</v>
      </c>
      <c r="AD196">
        <f>ROUND((((ET196)-(EU196))+AE196),6)</f>
        <v>363.79</v>
      </c>
      <c r="AE196">
        <f>ROUND((EU196),6)</f>
        <v>131.25</v>
      </c>
      <c r="AF196">
        <f>ROUND((EV196),6)</f>
        <v>275.02999999999997</v>
      </c>
      <c r="AG196">
        <f>ROUND((AP196),6)</f>
        <v>0</v>
      </c>
      <c r="AH196">
        <f>(EW196)</f>
        <v>24.6</v>
      </c>
      <c r="AI196">
        <f>(EX196)</f>
        <v>0</v>
      </c>
      <c r="AJ196">
        <f>(AS196)</f>
        <v>0</v>
      </c>
      <c r="AK196">
        <v>638.82000000000005</v>
      </c>
      <c r="AL196">
        <v>0</v>
      </c>
      <c r="AM196">
        <v>363.79</v>
      </c>
      <c r="AN196">
        <v>131.25</v>
      </c>
      <c r="AO196">
        <v>275.02999999999997</v>
      </c>
      <c r="AP196">
        <v>0</v>
      </c>
      <c r="AQ196">
        <v>24.6</v>
      </c>
      <c r="AR196">
        <v>0</v>
      </c>
      <c r="AS196">
        <v>0</v>
      </c>
      <c r="AT196">
        <v>70</v>
      </c>
      <c r="AU196">
        <v>41</v>
      </c>
      <c r="AV196">
        <v>1</v>
      </c>
      <c r="AW196">
        <v>1</v>
      </c>
      <c r="AZ196">
        <v>1</v>
      </c>
      <c r="BA196">
        <v>30.1</v>
      </c>
      <c r="BB196">
        <v>17.239999999999998</v>
      </c>
      <c r="BC196">
        <v>1</v>
      </c>
      <c r="BD196" t="s">
        <v>3</v>
      </c>
      <c r="BE196" t="s">
        <v>3</v>
      </c>
      <c r="BF196" t="s">
        <v>3</v>
      </c>
      <c r="BG196" t="s">
        <v>3</v>
      </c>
      <c r="BH196">
        <v>0</v>
      </c>
      <c r="BI196">
        <v>1</v>
      </c>
      <c r="BJ196" t="s">
        <v>393</v>
      </c>
      <c r="BM196">
        <v>439</v>
      </c>
      <c r="BN196">
        <v>36862081</v>
      </c>
      <c r="BO196" t="s">
        <v>391</v>
      </c>
      <c r="BP196">
        <v>1</v>
      </c>
      <c r="BQ196">
        <v>60</v>
      </c>
      <c r="BR196">
        <v>0</v>
      </c>
      <c r="BS196">
        <v>30.1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</v>
      </c>
      <c r="BZ196">
        <v>70</v>
      </c>
      <c r="CA196">
        <v>41</v>
      </c>
      <c r="CB196" t="s">
        <v>3</v>
      </c>
      <c r="CE196">
        <v>30</v>
      </c>
      <c r="CF196">
        <v>0</v>
      </c>
      <c r="CG196">
        <v>0</v>
      </c>
      <c r="CM196">
        <v>0</v>
      </c>
      <c r="CN196" t="s">
        <v>3</v>
      </c>
      <c r="CO196">
        <v>0</v>
      </c>
      <c r="CP196">
        <f>(P196+Q196+S196)</f>
        <v>39285.31</v>
      </c>
      <c r="CQ196">
        <f>ROUND((ROUND((AC196*AW196*1),2)*BC196),2)</f>
        <v>0</v>
      </c>
      <c r="CR196">
        <f>(ROUND((ROUND(((ET196)*AV196*1),2)*BB196),2)+ROUND((ROUND(((AE196-(EU196))*AV196*1),2)*BS196),2))</f>
        <v>6271.74</v>
      </c>
      <c r="CS196">
        <f>ROUND((ROUND((AE196*AV196*1),2)*BS196),2)</f>
        <v>3950.63</v>
      </c>
      <c r="CT196">
        <f>ROUND((ROUND((AF196*AV196*1),2)*BA196),2)</f>
        <v>8278.4</v>
      </c>
      <c r="CU196">
        <f>AG196</f>
        <v>0</v>
      </c>
      <c r="CV196">
        <f>(AH196*AV196)</f>
        <v>24.6</v>
      </c>
      <c r="CW196">
        <f t="shared" si="190"/>
        <v>0</v>
      </c>
      <c r="CX196">
        <f t="shared" si="190"/>
        <v>0</v>
      </c>
      <c r="CY196">
        <f>S196*(BZ196/100)</f>
        <v>15646.161999999998</v>
      </c>
      <c r="CZ196">
        <f>S196*(CA196/100)</f>
        <v>9164.1805999999997</v>
      </c>
      <c r="DC196" t="s">
        <v>3</v>
      </c>
      <c r="DD196" t="s">
        <v>3</v>
      </c>
      <c r="DE196" t="s">
        <v>3</v>
      </c>
      <c r="DF196" t="s">
        <v>3</v>
      </c>
      <c r="DG196" t="s">
        <v>3</v>
      </c>
      <c r="DH196" t="s">
        <v>3</v>
      </c>
      <c r="DI196" t="s">
        <v>3</v>
      </c>
      <c r="DJ196" t="s">
        <v>3</v>
      </c>
      <c r="DK196" t="s">
        <v>3</v>
      </c>
      <c r="DL196" t="s">
        <v>3</v>
      </c>
      <c r="DM196" t="s">
        <v>3</v>
      </c>
      <c r="DN196">
        <v>80</v>
      </c>
      <c r="DO196">
        <v>55</v>
      </c>
      <c r="DP196">
        <v>1</v>
      </c>
      <c r="DQ196">
        <v>1</v>
      </c>
      <c r="DU196">
        <v>1013</v>
      </c>
      <c r="DV196" t="s">
        <v>377</v>
      </c>
      <c r="DW196" t="s">
        <v>377</v>
      </c>
      <c r="DX196">
        <v>1</v>
      </c>
      <c r="DZ196" t="s">
        <v>3</v>
      </c>
      <c r="EA196" t="s">
        <v>3</v>
      </c>
      <c r="EB196" t="s">
        <v>3</v>
      </c>
      <c r="EC196" t="s">
        <v>3</v>
      </c>
      <c r="EE196">
        <v>53213188</v>
      </c>
      <c r="EF196">
        <v>60</v>
      </c>
      <c r="EG196" t="s">
        <v>22</v>
      </c>
      <c r="EH196">
        <v>0</v>
      </c>
      <c r="EI196" t="s">
        <v>3</v>
      </c>
      <c r="EJ196">
        <v>1</v>
      </c>
      <c r="EK196">
        <v>439</v>
      </c>
      <c r="EL196" t="s">
        <v>379</v>
      </c>
      <c r="EM196" t="s">
        <v>380</v>
      </c>
      <c r="EO196" t="s">
        <v>3</v>
      </c>
      <c r="EQ196">
        <v>2228224</v>
      </c>
      <c r="ER196">
        <v>638.82000000000005</v>
      </c>
      <c r="ES196">
        <v>0</v>
      </c>
      <c r="ET196">
        <v>363.79</v>
      </c>
      <c r="EU196">
        <v>131.25</v>
      </c>
      <c r="EV196">
        <v>275.02999999999997</v>
      </c>
      <c r="EW196">
        <v>24.6</v>
      </c>
      <c r="EX196">
        <v>0</v>
      </c>
      <c r="EY196">
        <v>0</v>
      </c>
      <c r="FQ196">
        <v>0</v>
      </c>
      <c r="FR196">
        <f>ROUND(IF(BI196=3,GM196,0),2)</f>
        <v>0</v>
      </c>
      <c r="FS196">
        <v>0</v>
      </c>
      <c r="FX196">
        <v>80</v>
      </c>
      <c r="FY196">
        <v>55</v>
      </c>
      <c r="GA196" t="s">
        <v>3</v>
      </c>
      <c r="GD196">
        <v>0</v>
      </c>
      <c r="GF196">
        <v>1532943584</v>
      </c>
      <c r="GG196">
        <v>2</v>
      </c>
      <c r="GH196">
        <v>1</v>
      </c>
      <c r="GI196">
        <v>2</v>
      </c>
      <c r="GJ196">
        <v>0</v>
      </c>
      <c r="GK196">
        <f>ROUND(R196*(R12)/100,2)</f>
        <v>17066.939999999999</v>
      </c>
      <c r="GL196">
        <f>ROUND(IF(AND(BH196=3,BI196=3,FS196&lt;&gt;0),P196,0),2)</f>
        <v>0</v>
      </c>
      <c r="GM196">
        <f>ROUND(O196+X196+Y196+GK196,2)+GX196</f>
        <v>81162.59</v>
      </c>
      <c r="GN196">
        <f>IF(OR(BI196=0,BI196=1),GM196,0)</f>
        <v>81162.59</v>
      </c>
      <c r="GO196">
        <f>IF(BI196=2,GM196,0)</f>
        <v>0</v>
      </c>
      <c r="GP196">
        <f>IF(BI196=4,GM196+GX196,0)</f>
        <v>0</v>
      </c>
      <c r="GR196">
        <v>0</v>
      </c>
      <c r="GS196">
        <v>3</v>
      </c>
      <c r="GT196">
        <v>0</v>
      </c>
      <c r="GU196" t="s">
        <v>3</v>
      </c>
      <c r="GV196">
        <f>ROUND((GT196),6)</f>
        <v>0</v>
      </c>
      <c r="GW196">
        <v>1</v>
      </c>
      <c r="GX196">
        <f>ROUND(HC196*I196,2)</f>
        <v>0</v>
      </c>
      <c r="HA196">
        <v>0</v>
      </c>
      <c r="HB196">
        <v>0</v>
      </c>
      <c r="HC196">
        <f>GV196*GW196</f>
        <v>0</v>
      </c>
      <c r="HE196" t="s">
        <v>3</v>
      </c>
      <c r="HF196" t="s">
        <v>3</v>
      </c>
      <c r="HM196" t="s">
        <v>3</v>
      </c>
      <c r="HN196" t="s">
        <v>3</v>
      </c>
      <c r="HO196" t="s">
        <v>3</v>
      </c>
      <c r="HP196" t="s">
        <v>3</v>
      </c>
      <c r="HQ196" t="s">
        <v>3</v>
      </c>
      <c r="IK196">
        <v>0</v>
      </c>
    </row>
    <row r="197" spans="1:245" x14ac:dyDescent="0.2">
      <c r="A197">
        <v>17</v>
      </c>
      <c r="B197">
        <v>1</v>
      </c>
      <c r="C197">
        <f>ROW(SmtRes!A191)</f>
        <v>191</v>
      </c>
      <c r="D197">
        <f>ROW(EtalonRes!A302)</f>
        <v>302</v>
      </c>
      <c r="E197" t="s">
        <v>394</v>
      </c>
      <c r="F197" t="s">
        <v>395</v>
      </c>
      <c r="G197" t="s">
        <v>396</v>
      </c>
      <c r="H197" t="s">
        <v>377</v>
      </c>
      <c r="I197">
        <f>ROUND(270/100,9)</f>
        <v>2.7</v>
      </c>
      <c r="J197">
        <v>0</v>
      </c>
      <c r="K197">
        <f>ROUND(270/100,9)</f>
        <v>2.7</v>
      </c>
      <c r="O197">
        <f>ROUND(CP197,2)</f>
        <v>5451.71</v>
      </c>
      <c r="P197">
        <f>ROUND((ROUND((AC197*AW197*I197),2)*BC197),2)</f>
        <v>0</v>
      </c>
      <c r="Q197">
        <f>(ROUND((ROUND((((ET197*2))*AV197*I197),2)*BB197),2)+ROUND((ROUND(((AE197-((EU197*2)))*AV197*I197),2)*BS197),2))</f>
        <v>0</v>
      </c>
      <c r="R197">
        <f>ROUND((ROUND((AE197*AV197*I197),2)*BS197),2)</f>
        <v>0</v>
      </c>
      <c r="S197">
        <f>ROUND((ROUND((AF197*AV197*I197),2)*BA197),2)</f>
        <v>5451.71</v>
      </c>
      <c r="T197">
        <f>ROUND(CU197*I197,2)</f>
        <v>0</v>
      </c>
      <c r="U197">
        <f>CV197*I197</f>
        <v>16.200000000000003</v>
      </c>
      <c r="V197">
        <f>CW197*I197</f>
        <v>0</v>
      </c>
      <c r="W197">
        <f>ROUND(CX197*I197,2)</f>
        <v>0</v>
      </c>
      <c r="X197">
        <f t="shared" si="189"/>
        <v>3816.2</v>
      </c>
      <c r="Y197">
        <f t="shared" si="189"/>
        <v>2235.1999999999998</v>
      </c>
      <c r="AA197">
        <v>53860087</v>
      </c>
      <c r="AB197">
        <f>ROUND((AC197+AD197+AF197),6)</f>
        <v>67.08</v>
      </c>
      <c r="AC197">
        <f>ROUND(((ES197*2)),6)</f>
        <v>0</v>
      </c>
      <c r="AD197">
        <f>ROUND(((((ET197*2))-((EU197*2)))+AE197),6)</f>
        <v>0</v>
      </c>
      <c r="AE197">
        <f>ROUND(((EU197*2)),6)</f>
        <v>0</v>
      </c>
      <c r="AF197">
        <f>ROUND(((EV197*2)),6)</f>
        <v>67.08</v>
      </c>
      <c r="AG197">
        <f>ROUND((AP197),6)</f>
        <v>0</v>
      </c>
      <c r="AH197">
        <f>((EW197*2))</f>
        <v>6</v>
      </c>
      <c r="AI197">
        <f>((EX197*2))</f>
        <v>0</v>
      </c>
      <c r="AJ197">
        <f>(AS197)</f>
        <v>0</v>
      </c>
      <c r="AK197">
        <v>33.54</v>
      </c>
      <c r="AL197">
        <v>0</v>
      </c>
      <c r="AM197">
        <v>0</v>
      </c>
      <c r="AN197">
        <v>0</v>
      </c>
      <c r="AO197">
        <v>33.54</v>
      </c>
      <c r="AP197">
        <v>0</v>
      </c>
      <c r="AQ197">
        <v>3</v>
      </c>
      <c r="AR197">
        <v>0</v>
      </c>
      <c r="AS197">
        <v>0</v>
      </c>
      <c r="AT197">
        <v>70</v>
      </c>
      <c r="AU197">
        <v>41</v>
      </c>
      <c r="AV197">
        <v>1</v>
      </c>
      <c r="AW197">
        <v>1</v>
      </c>
      <c r="AZ197">
        <v>1</v>
      </c>
      <c r="BA197">
        <v>30.1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0</v>
      </c>
      <c r="BI197">
        <v>1</v>
      </c>
      <c r="BJ197" t="s">
        <v>397</v>
      </c>
      <c r="BM197">
        <v>439</v>
      </c>
      <c r="BN197">
        <v>36862081</v>
      </c>
      <c r="BO197" t="s">
        <v>395</v>
      </c>
      <c r="BP197">
        <v>1</v>
      </c>
      <c r="BQ197">
        <v>60</v>
      </c>
      <c r="BR197">
        <v>0</v>
      </c>
      <c r="BS197">
        <v>30.1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70</v>
      </c>
      <c r="CA197">
        <v>41</v>
      </c>
      <c r="CB197" t="s">
        <v>3</v>
      </c>
      <c r="CE197">
        <v>30</v>
      </c>
      <c r="CF197">
        <v>0</v>
      </c>
      <c r="CG197">
        <v>0</v>
      </c>
      <c r="CM197">
        <v>0</v>
      </c>
      <c r="CN197" t="s">
        <v>3</v>
      </c>
      <c r="CO197">
        <v>0</v>
      </c>
      <c r="CP197">
        <f>(P197+Q197+S197)</f>
        <v>5451.71</v>
      </c>
      <c r="CQ197">
        <f>ROUND((ROUND((AC197*AW197*1),2)*BC197),2)</f>
        <v>0</v>
      </c>
      <c r="CR197">
        <f>(ROUND((ROUND((((ET197*2))*AV197*1),2)*BB197),2)+ROUND((ROUND(((AE197-((EU197*2)))*AV197*1),2)*BS197),2))</f>
        <v>0</v>
      </c>
      <c r="CS197">
        <f>ROUND((ROUND((AE197*AV197*1),2)*BS197),2)</f>
        <v>0</v>
      </c>
      <c r="CT197">
        <f>ROUND((ROUND((AF197*AV197*1),2)*BA197),2)</f>
        <v>2019.11</v>
      </c>
      <c r="CU197">
        <f>AG197</f>
        <v>0</v>
      </c>
      <c r="CV197">
        <f>(AH197*AV197)</f>
        <v>6</v>
      </c>
      <c r="CW197">
        <f t="shared" si="190"/>
        <v>0</v>
      </c>
      <c r="CX197">
        <f t="shared" si="190"/>
        <v>0</v>
      </c>
      <c r="CY197">
        <f>S197*(BZ197/100)</f>
        <v>3816.1969999999997</v>
      </c>
      <c r="CZ197">
        <f>S197*(CA197/100)</f>
        <v>2235.2010999999998</v>
      </c>
      <c r="DC197" t="s">
        <v>3</v>
      </c>
      <c r="DD197" t="s">
        <v>398</v>
      </c>
      <c r="DE197" t="s">
        <v>398</v>
      </c>
      <c r="DF197" t="s">
        <v>398</v>
      </c>
      <c r="DG197" t="s">
        <v>398</v>
      </c>
      <c r="DH197" t="s">
        <v>3</v>
      </c>
      <c r="DI197" t="s">
        <v>398</v>
      </c>
      <c r="DJ197" t="s">
        <v>398</v>
      </c>
      <c r="DK197" t="s">
        <v>3</v>
      </c>
      <c r="DL197" t="s">
        <v>3</v>
      </c>
      <c r="DM197" t="s">
        <v>3</v>
      </c>
      <c r="DN197">
        <v>80</v>
      </c>
      <c r="DO197">
        <v>55</v>
      </c>
      <c r="DP197">
        <v>1</v>
      </c>
      <c r="DQ197">
        <v>1</v>
      </c>
      <c r="DU197">
        <v>1013</v>
      </c>
      <c r="DV197" t="s">
        <v>377</v>
      </c>
      <c r="DW197" t="s">
        <v>377</v>
      </c>
      <c r="DX197">
        <v>1</v>
      </c>
      <c r="DZ197" t="s">
        <v>3</v>
      </c>
      <c r="EA197" t="s">
        <v>3</v>
      </c>
      <c r="EB197" t="s">
        <v>3</v>
      </c>
      <c r="EC197" t="s">
        <v>3</v>
      </c>
      <c r="EE197">
        <v>53213188</v>
      </c>
      <c r="EF197">
        <v>60</v>
      </c>
      <c r="EG197" t="s">
        <v>22</v>
      </c>
      <c r="EH197">
        <v>0</v>
      </c>
      <c r="EI197" t="s">
        <v>3</v>
      </c>
      <c r="EJ197">
        <v>1</v>
      </c>
      <c r="EK197">
        <v>439</v>
      </c>
      <c r="EL197" t="s">
        <v>379</v>
      </c>
      <c r="EM197" t="s">
        <v>380</v>
      </c>
      <c r="EO197" t="s">
        <v>3</v>
      </c>
      <c r="EQ197">
        <v>131072</v>
      </c>
      <c r="ER197">
        <v>33.54</v>
      </c>
      <c r="ES197">
        <v>0</v>
      </c>
      <c r="ET197">
        <v>0</v>
      </c>
      <c r="EU197">
        <v>0</v>
      </c>
      <c r="EV197">
        <v>33.54</v>
      </c>
      <c r="EW197">
        <v>3</v>
      </c>
      <c r="EX197">
        <v>0</v>
      </c>
      <c r="EY197">
        <v>0</v>
      </c>
      <c r="FQ197">
        <v>0</v>
      </c>
      <c r="FR197">
        <f>ROUND(IF(BI197=3,GM197,0),2)</f>
        <v>0</v>
      </c>
      <c r="FS197">
        <v>0</v>
      </c>
      <c r="FX197">
        <v>80</v>
      </c>
      <c r="FY197">
        <v>55</v>
      </c>
      <c r="GA197" t="s">
        <v>3</v>
      </c>
      <c r="GD197">
        <v>0</v>
      </c>
      <c r="GF197">
        <v>1559874590</v>
      </c>
      <c r="GG197">
        <v>2</v>
      </c>
      <c r="GH197">
        <v>1</v>
      </c>
      <c r="GI197">
        <v>2</v>
      </c>
      <c r="GJ197">
        <v>0</v>
      </c>
      <c r="GK197">
        <f>ROUND(R197*(R12)/100,2)</f>
        <v>0</v>
      </c>
      <c r="GL197">
        <f>ROUND(IF(AND(BH197=3,BI197=3,FS197&lt;&gt;0),P197,0),2)</f>
        <v>0</v>
      </c>
      <c r="GM197">
        <f>ROUND(O197+X197+Y197+GK197,2)+GX197</f>
        <v>11503.11</v>
      </c>
      <c r="GN197">
        <f>IF(OR(BI197=0,BI197=1),GM197,0)</f>
        <v>11503.11</v>
      </c>
      <c r="GO197">
        <f>IF(BI197=2,GM197,0)</f>
        <v>0</v>
      </c>
      <c r="GP197">
        <f>IF(BI197=4,GM197+GX197,0)</f>
        <v>0</v>
      </c>
      <c r="GR197">
        <v>0</v>
      </c>
      <c r="GS197">
        <v>3</v>
      </c>
      <c r="GT197">
        <v>0</v>
      </c>
      <c r="GU197" t="s">
        <v>3</v>
      </c>
      <c r="GV197">
        <f>ROUND((GT197),6)</f>
        <v>0</v>
      </c>
      <c r="GW197">
        <v>1</v>
      </c>
      <c r="GX197">
        <f>ROUND(HC197*I197,2)</f>
        <v>0</v>
      </c>
      <c r="HA197">
        <v>0</v>
      </c>
      <c r="HB197">
        <v>0</v>
      </c>
      <c r="HC197">
        <f>GV197*GW197</f>
        <v>0</v>
      </c>
      <c r="HE197" t="s">
        <v>3</v>
      </c>
      <c r="HF197" t="s">
        <v>3</v>
      </c>
      <c r="HM197" t="s">
        <v>3</v>
      </c>
      <c r="HN197" t="s">
        <v>3</v>
      </c>
      <c r="HO197" t="s">
        <v>3</v>
      </c>
      <c r="HP197" t="s">
        <v>3</v>
      </c>
      <c r="HQ197" t="s">
        <v>3</v>
      </c>
      <c r="IK197">
        <v>0</v>
      </c>
    </row>
    <row r="198" spans="1:245" x14ac:dyDescent="0.2">
      <c r="A198">
        <v>19</v>
      </c>
      <c r="B198">
        <v>1</v>
      </c>
      <c r="F198" t="s">
        <v>3</v>
      </c>
      <c r="G198" t="s">
        <v>46</v>
      </c>
      <c r="H198" t="s">
        <v>3</v>
      </c>
      <c r="AA198">
        <v>1</v>
      </c>
      <c r="IK198">
        <v>0</v>
      </c>
    </row>
    <row r="199" spans="1:245" x14ac:dyDescent="0.2">
      <c r="A199">
        <v>17</v>
      </c>
      <c r="B199">
        <v>1</v>
      </c>
      <c r="C199">
        <f>ROW(SmtRes!A195)</f>
        <v>195</v>
      </c>
      <c r="D199">
        <f>ROW(EtalonRes!A306)</f>
        <v>306</v>
      </c>
      <c r="E199" t="s">
        <v>3</v>
      </c>
      <c r="F199" t="s">
        <v>399</v>
      </c>
      <c r="G199" t="s">
        <v>400</v>
      </c>
      <c r="H199" t="s">
        <v>28</v>
      </c>
      <c r="I199">
        <f>ROUND(100/100,9)</f>
        <v>1</v>
      </c>
      <c r="J199">
        <v>0</v>
      </c>
      <c r="K199">
        <f>ROUND(100/100,9)</f>
        <v>1</v>
      </c>
      <c r="O199">
        <f t="shared" ref="O199:O230" si="191">ROUND(CP199,2)</f>
        <v>37178.720000000001</v>
      </c>
      <c r="P199">
        <f t="shared" ref="P199:P230" si="192">ROUND((ROUND((AC199*AW199*I199),2)*BC199),2)</f>
        <v>4.67</v>
      </c>
      <c r="Q199">
        <f>(ROUND((ROUND((((ET199*1.25))*AV199*I199),2)*BB199),2)+ROUND((ROUND(((AE199-((EU199*1.25)))*AV199*I199),2)*BS199),2))</f>
        <v>343.39</v>
      </c>
      <c r="R199">
        <f t="shared" ref="R199:R230" si="193">ROUND((ROUND((AE199*AV199*I199),2)*BS199),2)</f>
        <v>302.81</v>
      </c>
      <c r="S199">
        <f t="shared" ref="S199:S230" si="194">ROUND((ROUND((AF199*AV199*I199),2)*BA199),2)</f>
        <v>36830.660000000003</v>
      </c>
      <c r="T199">
        <f t="shared" ref="T199:T230" si="195">ROUND(CU199*I199,2)</f>
        <v>0</v>
      </c>
      <c r="U199">
        <f t="shared" ref="U199:U230" si="196">CV199*I199</f>
        <v>98.025999999999982</v>
      </c>
      <c r="V199">
        <f t="shared" ref="V199:V230" si="197">CW199*I199</f>
        <v>0</v>
      </c>
      <c r="W199">
        <f t="shared" ref="W199:W230" si="198">ROUND(CX199*I199,2)</f>
        <v>0</v>
      </c>
      <c r="X199">
        <f t="shared" ref="X199:X230" si="199">ROUND(CY199,2)</f>
        <v>27623</v>
      </c>
      <c r="Y199">
        <f t="shared" ref="Y199:Y230" si="200">ROUND(CZ199,2)</f>
        <v>15100.57</v>
      </c>
      <c r="AA199">
        <v>-1</v>
      </c>
      <c r="AB199">
        <f t="shared" ref="AB199:AB230" si="201">ROUND((AC199+AD199+AF199),6)</f>
        <v>1236.154</v>
      </c>
      <c r="AC199">
        <f>ROUND((ES199),6)</f>
        <v>0.78</v>
      </c>
      <c r="AD199">
        <f>ROUND(((((ET199*1.25))-((EU199*1.25)))+AE199),6)</f>
        <v>11.762499999999999</v>
      </c>
      <c r="AE199">
        <f>ROUND(((EU199*1.25)),6)</f>
        <v>10.0625</v>
      </c>
      <c r="AF199">
        <f>ROUND(((EV199*1.15)),6)</f>
        <v>1223.6115</v>
      </c>
      <c r="AG199">
        <f t="shared" ref="AG199:AG230" si="202">ROUND((AP199),6)</f>
        <v>0</v>
      </c>
      <c r="AH199">
        <f>((EW199*1.15))</f>
        <v>98.025999999999982</v>
      </c>
      <c r="AI199">
        <f>((EX199*1.25))</f>
        <v>0</v>
      </c>
      <c r="AJ199">
        <f t="shared" ref="AJ199:AJ230" si="203">(AS199)</f>
        <v>0</v>
      </c>
      <c r="AK199">
        <v>1074.2</v>
      </c>
      <c r="AL199">
        <v>0.78</v>
      </c>
      <c r="AM199">
        <v>9.41</v>
      </c>
      <c r="AN199">
        <v>8.0500000000000007</v>
      </c>
      <c r="AO199">
        <v>1064.01</v>
      </c>
      <c r="AP199">
        <v>0</v>
      </c>
      <c r="AQ199">
        <v>85.24</v>
      </c>
      <c r="AR199">
        <v>0</v>
      </c>
      <c r="AS199">
        <v>0</v>
      </c>
      <c r="AT199">
        <v>75</v>
      </c>
      <c r="AU199">
        <v>41</v>
      </c>
      <c r="AV199">
        <v>1</v>
      </c>
      <c r="AW199">
        <v>1</v>
      </c>
      <c r="AZ199">
        <v>1</v>
      </c>
      <c r="BA199">
        <v>30.1</v>
      </c>
      <c r="BB199">
        <v>29.2</v>
      </c>
      <c r="BC199">
        <v>5.99</v>
      </c>
      <c r="BD199" t="s">
        <v>3</v>
      </c>
      <c r="BE199" t="s">
        <v>3</v>
      </c>
      <c r="BF199" t="s">
        <v>3</v>
      </c>
      <c r="BG199" t="s">
        <v>3</v>
      </c>
      <c r="BH199">
        <v>0</v>
      </c>
      <c r="BI199">
        <v>1</v>
      </c>
      <c r="BJ199" t="s">
        <v>401</v>
      </c>
      <c r="BM199">
        <v>77</v>
      </c>
      <c r="BN199">
        <v>36862081</v>
      </c>
      <c r="BO199" t="s">
        <v>399</v>
      </c>
      <c r="BP199">
        <v>1</v>
      </c>
      <c r="BQ199">
        <v>30</v>
      </c>
      <c r="BR199">
        <v>0</v>
      </c>
      <c r="BS199">
        <v>30.1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3</v>
      </c>
      <c r="BZ199">
        <v>75</v>
      </c>
      <c r="CA199">
        <v>41</v>
      </c>
      <c r="CB199" t="s">
        <v>3</v>
      </c>
      <c r="CE199">
        <v>30</v>
      </c>
      <c r="CF199">
        <v>0</v>
      </c>
      <c r="CG199">
        <v>0</v>
      </c>
      <c r="CM199">
        <v>0</v>
      </c>
      <c r="CN199" t="s">
        <v>3</v>
      </c>
      <c r="CO199">
        <v>0</v>
      </c>
      <c r="CP199">
        <f t="shared" ref="CP199:CP230" si="204">(P199+Q199+S199)</f>
        <v>37178.720000000001</v>
      </c>
      <c r="CQ199">
        <f t="shared" ref="CQ199:CQ230" si="205">ROUND((ROUND((AC199*AW199*1),2)*BC199),2)</f>
        <v>4.67</v>
      </c>
      <c r="CR199">
        <f>(ROUND((ROUND((((ET199*1.25))*AV199*1),2)*BB199),2)+ROUND((ROUND(((AE199-((EU199*1.25)))*AV199*1),2)*BS199),2))</f>
        <v>343.39</v>
      </c>
      <c r="CS199">
        <f t="shared" ref="CS199:CS230" si="206">ROUND((ROUND((AE199*AV199*1),2)*BS199),2)</f>
        <v>302.81</v>
      </c>
      <c r="CT199">
        <f t="shared" ref="CT199:CT230" si="207">ROUND((ROUND((AF199*AV199*1),2)*BA199),2)</f>
        <v>36830.660000000003</v>
      </c>
      <c r="CU199">
        <f t="shared" ref="CU199:CU230" si="208">AG199</f>
        <v>0</v>
      </c>
      <c r="CV199">
        <f t="shared" ref="CV199:CV230" si="209">(AH199*AV199)</f>
        <v>98.025999999999982</v>
      </c>
      <c r="CW199">
        <f t="shared" ref="CW199:CW230" si="210">AI199</f>
        <v>0</v>
      </c>
      <c r="CX199">
        <f t="shared" ref="CX199:CX230" si="211">AJ199</f>
        <v>0</v>
      </c>
      <c r="CY199">
        <f t="shared" ref="CY199:CY230" si="212">S199*(BZ199/100)</f>
        <v>27622.995000000003</v>
      </c>
      <c r="CZ199">
        <f t="shared" ref="CZ199:CZ230" si="213">S199*(CA199/100)</f>
        <v>15100.570600000001</v>
      </c>
      <c r="DC199" t="s">
        <v>3</v>
      </c>
      <c r="DD199" t="s">
        <v>3</v>
      </c>
      <c r="DE199" t="s">
        <v>51</v>
      </c>
      <c r="DF199" t="s">
        <v>51</v>
      </c>
      <c r="DG199" t="s">
        <v>52</v>
      </c>
      <c r="DH199" t="s">
        <v>3</v>
      </c>
      <c r="DI199" t="s">
        <v>52</v>
      </c>
      <c r="DJ199" t="s">
        <v>51</v>
      </c>
      <c r="DK199" t="s">
        <v>3</v>
      </c>
      <c r="DL199" t="s">
        <v>3</v>
      </c>
      <c r="DM199" t="s">
        <v>3</v>
      </c>
      <c r="DN199">
        <v>91</v>
      </c>
      <c r="DO199">
        <v>70</v>
      </c>
      <c r="DP199">
        <v>1</v>
      </c>
      <c r="DQ199">
        <v>1</v>
      </c>
      <c r="DU199">
        <v>1005</v>
      </c>
      <c r="DV199" t="s">
        <v>28</v>
      </c>
      <c r="DW199" t="s">
        <v>28</v>
      </c>
      <c r="DX199">
        <v>100</v>
      </c>
      <c r="DZ199" t="s">
        <v>3</v>
      </c>
      <c r="EA199" t="s">
        <v>3</v>
      </c>
      <c r="EB199" t="s">
        <v>3</v>
      </c>
      <c r="EC199" t="s">
        <v>3</v>
      </c>
      <c r="EE199">
        <v>53212826</v>
      </c>
      <c r="EF199">
        <v>30</v>
      </c>
      <c r="EG199" t="s">
        <v>37</v>
      </c>
      <c r="EH199">
        <v>0</v>
      </c>
      <c r="EI199" t="s">
        <v>3</v>
      </c>
      <c r="EJ199">
        <v>1</v>
      </c>
      <c r="EK199">
        <v>77</v>
      </c>
      <c r="EL199" t="s">
        <v>402</v>
      </c>
      <c r="EM199" t="s">
        <v>403</v>
      </c>
      <c r="EO199" t="s">
        <v>3</v>
      </c>
      <c r="EQ199">
        <v>1024</v>
      </c>
      <c r="ER199">
        <v>1074.2</v>
      </c>
      <c r="ES199">
        <v>0.78</v>
      </c>
      <c r="ET199">
        <v>9.41</v>
      </c>
      <c r="EU199">
        <v>8.0500000000000007</v>
      </c>
      <c r="EV199">
        <v>1064.01</v>
      </c>
      <c r="EW199">
        <v>85.24</v>
      </c>
      <c r="EX199">
        <v>0</v>
      </c>
      <c r="EY199">
        <v>0</v>
      </c>
      <c r="FQ199">
        <v>0</v>
      </c>
      <c r="FR199">
        <f t="shared" ref="FR199:FR230" si="214">ROUND(IF(BI199=3,GM199,0),2)</f>
        <v>0</v>
      </c>
      <c r="FS199">
        <v>0</v>
      </c>
      <c r="FX199">
        <v>91</v>
      </c>
      <c r="FY199">
        <v>70</v>
      </c>
      <c r="GA199" t="s">
        <v>3</v>
      </c>
      <c r="GD199">
        <v>0</v>
      </c>
      <c r="GF199">
        <v>696774687</v>
      </c>
      <c r="GG199">
        <v>2</v>
      </c>
      <c r="GH199">
        <v>1</v>
      </c>
      <c r="GI199">
        <v>2</v>
      </c>
      <c r="GJ199">
        <v>0</v>
      </c>
      <c r="GK199">
        <f>ROUND(R199*(R12)/100,2)</f>
        <v>484.5</v>
      </c>
      <c r="GL199">
        <f t="shared" ref="GL199:GL230" si="215">ROUND(IF(AND(BH199=3,BI199=3,FS199&lt;&gt;0),P199,0),2)</f>
        <v>0</v>
      </c>
      <c r="GM199">
        <f t="shared" ref="GM199:GM230" si="216">ROUND(O199+X199+Y199+GK199,2)+GX199</f>
        <v>80386.789999999994</v>
      </c>
      <c r="GN199">
        <f t="shared" ref="GN199:GN230" si="217">IF(OR(BI199=0,BI199=1),GM199,0)</f>
        <v>80386.789999999994</v>
      </c>
      <c r="GO199">
        <f t="shared" ref="GO199:GO230" si="218">IF(BI199=2,GM199,0)</f>
        <v>0</v>
      </c>
      <c r="GP199">
        <f t="shared" ref="GP199:GP230" si="219">IF(BI199=4,GM199+GX199,0)</f>
        <v>0</v>
      </c>
      <c r="GR199">
        <v>0</v>
      </c>
      <c r="GS199">
        <v>3</v>
      </c>
      <c r="GT199">
        <v>0</v>
      </c>
      <c r="GU199" t="s">
        <v>3</v>
      </c>
      <c r="GV199">
        <f t="shared" ref="GV199:GV230" si="220">ROUND((GT199),6)</f>
        <v>0</v>
      </c>
      <c r="GW199">
        <v>1</v>
      </c>
      <c r="GX199">
        <f t="shared" ref="GX199:GX230" si="221">ROUND(HC199*I199,2)</f>
        <v>0</v>
      </c>
      <c r="HA199">
        <v>0</v>
      </c>
      <c r="HB199">
        <v>0</v>
      </c>
      <c r="HC199">
        <f t="shared" ref="HC199:HC230" si="222">GV199*GW199</f>
        <v>0</v>
      </c>
      <c r="HE199" t="s">
        <v>3</v>
      </c>
      <c r="HF199" t="s">
        <v>3</v>
      </c>
      <c r="HM199" t="s">
        <v>3</v>
      </c>
      <c r="HN199" t="s">
        <v>3</v>
      </c>
      <c r="HO199" t="s">
        <v>3</v>
      </c>
      <c r="HP199" t="s">
        <v>3</v>
      </c>
      <c r="HQ199" t="s">
        <v>3</v>
      </c>
      <c r="IK199">
        <v>0</v>
      </c>
    </row>
    <row r="200" spans="1:245" x14ac:dyDescent="0.2">
      <c r="A200">
        <v>18</v>
      </c>
      <c r="B200">
        <v>1</v>
      </c>
      <c r="C200">
        <v>195</v>
      </c>
      <c r="E200" t="s">
        <v>3</v>
      </c>
      <c r="F200" t="s">
        <v>404</v>
      </c>
      <c r="G200" t="s">
        <v>980</v>
      </c>
      <c r="H200" t="s">
        <v>58</v>
      </c>
      <c r="I200">
        <f>I199*J200</f>
        <v>312</v>
      </c>
      <c r="J200">
        <v>312</v>
      </c>
      <c r="K200">
        <v>312</v>
      </c>
      <c r="O200">
        <f t="shared" si="191"/>
        <v>15900.77</v>
      </c>
      <c r="P200">
        <f t="shared" si="192"/>
        <v>15900.77</v>
      </c>
      <c r="Q200">
        <f>(ROUND((ROUND(((ET200)*AV200*I200),2)*BB200),2)+ROUND((ROUND(((AE200-(EU200))*AV200*I200),2)*BS200),2))</f>
        <v>0</v>
      </c>
      <c r="R200">
        <f t="shared" si="193"/>
        <v>0</v>
      </c>
      <c r="S200">
        <f t="shared" si="194"/>
        <v>0</v>
      </c>
      <c r="T200">
        <f t="shared" si="195"/>
        <v>0</v>
      </c>
      <c r="U200">
        <f t="shared" si="196"/>
        <v>0</v>
      </c>
      <c r="V200">
        <f t="shared" si="197"/>
        <v>0</v>
      </c>
      <c r="W200">
        <f t="shared" si="198"/>
        <v>0</v>
      </c>
      <c r="X200">
        <f t="shared" si="199"/>
        <v>0</v>
      </c>
      <c r="Y200">
        <f t="shared" si="200"/>
        <v>0</v>
      </c>
      <c r="AA200">
        <v>-1</v>
      </c>
      <c r="AB200">
        <f t="shared" si="201"/>
        <v>12.4</v>
      </c>
      <c r="AC200">
        <f>ROUND((ES200),6)</f>
        <v>12.4</v>
      </c>
      <c r="AD200">
        <f>ROUND((((ET200)-(EU200))+AE200),6)</f>
        <v>0</v>
      </c>
      <c r="AE200">
        <f>ROUND((EU200),6)</f>
        <v>0</v>
      </c>
      <c r="AF200">
        <f>ROUND((EV200),6)</f>
        <v>0</v>
      </c>
      <c r="AG200">
        <f t="shared" si="202"/>
        <v>0</v>
      </c>
      <c r="AH200">
        <f>(EW200)</f>
        <v>0</v>
      </c>
      <c r="AI200">
        <f>(EX200)</f>
        <v>0</v>
      </c>
      <c r="AJ200">
        <f t="shared" si="203"/>
        <v>0</v>
      </c>
      <c r="AK200">
        <v>12.4</v>
      </c>
      <c r="AL200">
        <v>12.4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1</v>
      </c>
      <c r="AW200">
        <v>1</v>
      </c>
      <c r="AZ200">
        <v>1</v>
      </c>
      <c r="BA200">
        <v>1</v>
      </c>
      <c r="BB200">
        <v>1</v>
      </c>
      <c r="BC200">
        <v>4.1100000000000003</v>
      </c>
      <c r="BD200" t="s">
        <v>3</v>
      </c>
      <c r="BE200" t="s">
        <v>3</v>
      </c>
      <c r="BF200" t="s">
        <v>3</v>
      </c>
      <c r="BG200" t="s">
        <v>3</v>
      </c>
      <c r="BH200">
        <v>3</v>
      </c>
      <c r="BI200">
        <v>1</v>
      </c>
      <c r="BJ200" t="s">
        <v>405</v>
      </c>
      <c r="BM200">
        <v>77</v>
      </c>
      <c r="BN200">
        <v>36862081</v>
      </c>
      <c r="BO200" t="s">
        <v>404</v>
      </c>
      <c r="BP200">
        <v>1</v>
      </c>
      <c r="BQ200">
        <v>30</v>
      </c>
      <c r="BR200">
        <v>0</v>
      </c>
      <c r="BS200">
        <v>1</v>
      </c>
      <c r="BT200">
        <v>1</v>
      </c>
      <c r="BU200">
        <v>1</v>
      </c>
      <c r="BV200">
        <v>1</v>
      </c>
      <c r="BW200">
        <v>1</v>
      </c>
      <c r="BX200">
        <v>1</v>
      </c>
      <c r="BY200" t="s">
        <v>3</v>
      </c>
      <c r="BZ200">
        <v>0</v>
      </c>
      <c r="CA200">
        <v>0</v>
      </c>
      <c r="CB200" t="s">
        <v>3</v>
      </c>
      <c r="CE200">
        <v>30</v>
      </c>
      <c r="CF200">
        <v>0</v>
      </c>
      <c r="CG200">
        <v>0</v>
      </c>
      <c r="CM200">
        <v>0</v>
      </c>
      <c r="CN200" t="s">
        <v>3</v>
      </c>
      <c r="CO200">
        <v>0</v>
      </c>
      <c r="CP200">
        <f t="shared" si="204"/>
        <v>15900.77</v>
      </c>
      <c r="CQ200">
        <f t="shared" si="205"/>
        <v>50.96</v>
      </c>
      <c r="CR200">
        <f>(ROUND((ROUND(((ET200)*AV200*1),2)*BB200),2)+ROUND((ROUND(((AE200-(EU200))*AV200*1),2)*BS200),2))</f>
        <v>0</v>
      </c>
      <c r="CS200">
        <f t="shared" si="206"/>
        <v>0</v>
      </c>
      <c r="CT200">
        <f t="shared" si="207"/>
        <v>0</v>
      </c>
      <c r="CU200">
        <f t="shared" si="208"/>
        <v>0</v>
      </c>
      <c r="CV200">
        <f t="shared" si="209"/>
        <v>0</v>
      </c>
      <c r="CW200">
        <f t="shared" si="210"/>
        <v>0</v>
      </c>
      <c r="CX200">
        <f t="shared" si="211"/>
        <v>0</v>
      </c>
      <c r="CY200">
        <f t="shared" si="212"/>
        <v>0</v>
      </c>
      <c r="CZ200">
        <f t="shared" si="213"/>
        <v>0</v>
      </c>
      <c r="DC200" t="s">
        <v>3</v>
      </c>
      <c r="DD200" t="s">
        <v>3</v>
      </c>
      <c r="DE200" t="s">
        <v>3</v>
      </c>
      <c r="DF200" t="s">
        <v>3</v>
      </c>
      <c r="DG200" t="s">
        <v>3</v>
      </c>
      <c r="DH200" t="s">
        <v>3</v>
      </c>
      <c r="DI200" t="s">
        <v>3</v>
      </c>
      <c r="DJ200" t="s">
        <v>3</v>
      </c>
      <c r="DK200" t="s">
        <v>3</v>
      </c>
      <c r="DL200" t="s">
        <v>3</v>
      </c>
      <c r="DM200" t="s">
        <v>3</v>
      </c>
      <c r="DN200">
        <v>91</v>
      </c>
      <c r="DO200">
        <v>70</v>
      </c>
      <c r="DP200">
        <v>1</v>
      </c>
      <c r="DQ200">
        <v>1</v>
      </c>
      <c r="DU200">
        <v>1009</v>
      </c>
      <c r="DV200" t="s">
        <v>58</v>
      </c>
      <c r="DW200" t="s">
        <v>58</v>
      </c>
      <c r="DX200">
        <v>1</v>
      </c>
      <c r="DZ200" t="s">
        <v>3</v>
      </c>
      <c r="EA200" t="s">
        <v>3</v>
      </c>
      <c r="EB200" t="s">
        <v>3</v>
      </c>
      <c r="EC200" t="s">
        <v>3</v>
      </c>
      <c r="EE200">
        <v>53212826</v>
      </c>
      <c r="EF200">
        <v>30</v>
      </c>
      <c r="EG200" t="s">
        <v>37</v>
      </c>
      <c r="EH200">
        <v>0</v>
      </c>
      <c r="EI200" t="s">
        <v>3</v>
      </c>
      <c r="EJ200">
        <v>1</v>
      </c>
      <c r="EK200">
        <v>77</v>
      </c>
      <c r="EL200" t="s">
        <v>402</v>
      </c>
      <c r="EM200" t="s">
        <v>403</v>
      </c>
      <c r="EO200" t="s">
        <v>3</v>
      </c>
      <c r="EQ200">
        <v>1024</v>
      </c>
      <c r="ER200">
        <v>12.4</v>
      </c>
      <c r="ES200">
        <v>12.4</v>
      </c>
      <c r="ET200">
        <v>0</v>
      </c>
      <c r="EU200">
        <v>0</v>
      </c>
      <c r="EV200">
        <v>0</v>
      </c>
      <c r="EW200">
        <v>0</v>
      </c>
      <c r="EX200">
        <v>0</v>
      </c>
      <c r="FQ200">
        <v>0</v>
      </c>
      <c r="FR200">
        <f t="shared" si="214"/>
        <v>0</v>
      </c>
      <c r="FS200">
        <v>0</v>
      </c>
      <c r="FX200">
        <v>91</v>
      </c>
      <c r="FY200">
        <v>70</v>
      </c>
      <c r="GA200" t="s">
        <v>3</v>
      </c>
      <c r="GD200">
        <v>0</v>
      </c>
      <c r="GF200">
        <v>-1508692527</v>
      </c>
      <c r="GG200">
        <v>2</v>
      </c>
      <c r="GH200">
        <v>1</v>
      </c>
      <c r="GI200">
        <v>2</v>
      </c>
      <c r="GJ200">
        <v>0</v>
      </c>
      <c r="GK200">
        <f>ROUND(R200*(R12)/100,2)</f>
        <v>0</v>
      </c>
      <c r="GL200">
        <f t="shared" si="215"/>
        <v>0</v>
      </c>
      <c r="GM200">
        <f t="shared" si="216"/>
        <v>15900.77</v>
      </c>
      <c r="GN200">
        <f t="shared" si="217"/>
        <v>15900.77</v>
      </c>
      <c r="GO200">
        <f t="shared" si="218"/>
        <v>0</v>
      </c>
      <c r="GP200">
        <f t="shared" si="219"/>
        <v>0</v>
      </c>
      <c r="GR200">
        <v>0</v>
      </c>
      <c r="GS200">
        <v>3</v>
      </c>
      <c r="GT200">
        <v>0</v>
      </c>
      <c r="GU200" t="s">
        <v>3</v>
      </c>
      <c r="GV200">
        <f t="shared" si="220"/>
        <v>0</v>
      </c>
      <c r="GW200">
        <v>1</v>
      </c>
      <c r="GX200">
        <f t="shared" si="221"/>
        <v>0</v>
      </c>
      <c r="HA200">
        <v>0</v>
      </c>
      <c r="HB200">
        <v>0</v>
      </c>
      <c r="HC200">
        <f t="shared" si="222"/>
        <v>0</v>
      </c>
      <c r="HE200" t="s">
        <v>3</v>
      </c>
      <c r="HF200" t="s">
        <v>3</v>
      </c>
      <c r="HM200" t="s">
        <v>3</v>
      </c>
      <c r="HN200" t="s">
        <v>3</v>
      </c>
      <c r="HO200" t="s">
        <v>3</v>
      </c>
      <c r="HP200" t="s">
        <v>3</v>
      </c>
      <c r="HQ200" t="s">
        <v>3</v>
      </c>
      <c r="IK200">
        <v>0</v>
      </c>
    </row>
    <row r="201" spans="1:245" x14ac:dyDescent="0.2">
      <c r="A201">
        <v>17</v>
      </c>
      <c r="B201">
        <v>1</v>
      </c>
      <c r="C201">
        <f>ROW(SmtRes!A199)</f>
        <v>199</v>
      </c>
      <c r="D201">
        <f>ROW(EtalonRes!A310)</f>
        <v>310</v>
      </c>
      <c r="E201" t="s">
        <v>406</v>
      </c>
      <c r="F201" t="s">
        <v>407</v>
      </c>
      <c r="G201" t="s">
        <v>408</v>
      </c>
      <c r="H201" t="s">
        <v>409</v>
      </c>
      <c r="I201">
        <f>ROUND(270/100,9)</f>
        <v>2.7</v>
      </c>
      <c r="J201">
        <v>0</v>
      </c>
      <c r="K201">
        <f>ROUND(270/100,9)</f>
        <v>2.7</v>
      </c>
      <c r="O201">
        <f t="shared" si="191"/>
        <v>23158.61</v>
      </c>
      <c r="P201">
        <f t="shared" si="192"/>
        <v>400.98</v>
      </c>
      <c r="Q201">
        <f>(ROUND((ROUND((((ET201*1.25))*AV201*I201),2)*BB201),2)+ROUND((ROUND(((AE201-((EU201*1.25)))*AV201*I201),2)*BS201),2))</f>
        <v>58.92</v>
      </c>
      <c r="R201">
        <f t="shared" si="193"/>
        <v>0</v>
      </c>
      <c r="S201">
        <f t="shared" si="194"/>
        <v>22698.71</v>
      </c>
      <c r="T201">
        <f t="shared" si="195"/>
        <v>0</v>
      </c>
      <c r="U201">
        <f t="shared" si="196"/>
        <v>72.43965</v>
      </c>
      <c r="V201">
        <f t="shared" si="197"/>
        <v>0</v>
      </c>
      <c r="W201">
        <f t="shared" si="198"/>
        <v>0</v>
      </c>
      <c r="X201">
        <f t="shared" si="199"/>
        <v>19747.88</v>
      </c>
      <c r="Y201">
        <f t="shared" si="200"/>
        <v>9306.4699999999993</v>
      </c>
      <c r="AA201">
        <v>53860087</v>
      </c>
      <c r="AB201">
        <f t="shared" si="201"/>
        <v>306.3005</v>
      </c>
      <c r="AC201">
        <f>ROUND((ES201),6)</f>
        <v>24.75</v>
      </c>
      <c r="AD201">
        <f>ROUND(((((ET201*1.25))-((EU201*1.25)))+AE201),6)</f>
        <v>2.25</v>
      </c>
      <c r="AE201">
        <f>ROUND(((EU201*1.25)),6)</f>
        <v>0</v>
      </c>
      <c r="AF201">
        <f>ROUND(((EV201*1.15)),6)</f>
        <v>279.3005</v>
      </c>
      <c r="AG201">
        <f t="shared" si="202"/>
        <v>0</v>
      </c>
      <c r="AH201">
        <f>((EW201*1.15))</f>
        <v>26.829499999999996</v>
      </c>
      <c r="AI201">
        <f>((EX201*1.25))</f>
        <v>0</v>
      </c>
      <c r="AJ201">
        <f t="shared" si="203"/>
        <v>0</v>
      </c>
      <c r="AK201">
        <v>269.42</v>
      </c>
      <c r="AL201">
        <v>24.75</v>
      </c>
      <c r="AM201">
        <v>1.8</v>
      </c>
      <c r="AN201">
        <v>0</v>
      </c>
      <c r="AO201">
        <v>242.87</v>
      </c>
      <c r="AP201">
        <v>0</v>
      </c>
      <c r="AQ201">
        <v>23.33</v>
      </c>
      <c r="AR201">
        <v>0</v>
      </c>
      <c r="AS201">
        <v>0</v>
      </c>
      <c r="AT201">
        <v>87</v>
      </c>
      <c r="AU201">
        <v>41</v>
      </c>
      <c r="AV201">
        <v>1</v>
      </c>
      <c r="AW201">
        <v>1</v>
      </c>
      <c r="AZ201">
        <v>1</v>
      </c>
      <c r="BA201">
        <v>30.1</v>
      </c>
      <c r="BB201">
        <v>9.69</v>
      </c>
      <c r="BC201">
        <v>6</v>
      </c>
      <c r="BD201" t="s">
        <v>3</v>
      </c>
      <c r="BE201" t="s">
        <v>3</v>
      </c>
      <c r="BF201" t="s">
        <v>3</v>
      </c>
      <c r="BG201" t="s">
        <v>3</v>
      </c>
      <c r="BH201">
        <v>0</v>
      </c>
      <c r="BI201">
        <v>1</v>
      </c>
      <c r="BJ201" t="s">
        <v>410</v>
      </c>
      <c r="BM201">
        <v>89</v>
      </c>
      <c r="BN201">
        <v>36862081</v>
      </c>
      <c r="BO201" t="s">
        <v>407</v>
      </c>
      <c r="BP201">
        <v>1</v>
      </c>
      <c r="BQ201">
        <v>30</v>
      </c>
      <c r="BR201">
        <v>0</v>
      </c>
      <c r="BS201">
        <v>30.1</v>
      </c>
      <c r="BT201">
        <v>1</v>
      </c>
      <c r="BU201">
        <v>1</v>
      </c>
      <c r="BV201">
        <v>1</v>
      </c>
      <c r="BW201">
        <v>1</v>
      </c>
      <c r="BX201">
        <v>1</v>
      </c>
      <c r="BY201" t="s">
        <v>3</v>
      </c>
      <c r="BZ201">
        <v>87</v>
      </c>
      <c r="CA201">
        <v>41</v>
      </c>
      <c r="CB201" t="s">
        <v>3</v>
      </c>
      <c r="CE201">
        <v>30</v>
      </c>
      <c r="CF201">
        <v>0</v>
      </c>
      <c r="CG201">
        <v>0</v>
      </c>
      <c r="CM201">
        <v>0</v>
      </c>
      <c r="CN201" t="s">
        <v>3</v>
      </c>
      <c r="CO201">
        <v>0</v>
      </c>
      <c r="CP201">
        <f t="shared" si="204"/>
        <v>23158.61</v>
      </c>
      <c r="CQ201">
        <f t="shared" si="205"/>
        <v>148.5</v>
      </c>
      <c r="CR201">
        <f>(ROUND((ROUND((((ET201*1.25))*AV201*1),2)*BB201),2)+ROUND((ROUND(((AE201-((EU201*1.25)))*AV201*1),2)*BS201),2))</f>
        <v>21.8</v>
      </c>
      <c r="CS201">
        <f t="shared" si="206"/>
        <v>0</v>
      </c>
      <c r="CT201">
        <f t="shared" si="207"/>
        <v>8406.93</v>
      </c>
      <c r="CU201">
        <f t="shared" si="208"/>
        <v>0</v>
      </c>
      <c r="CV201">
        <f t="shared" si="209"/>
        <v>26.829499999999996</v>
      </c>
      <c r="CW201">
        <f t="shared" si="210"/>
        <v>0</v>
      </c>
      <c r="CX201">
        <f t="shared" si="211"/>
        <v>0</v>
      </c>
      <c r="CY201">
        <f t="shared" si="212"/>
        <v>19747.877700000001</v>
      </c>
      <c r="CZ201">
        <f t="shared" si="213"/>
        <v>9306.4710999999988</v>
      </c>
      <c r="DC201" t="s">
        <v>3</v>
      </c>
      <c r="DD201" t="s">
        <v>3</v>
      </c>
      <c r="DE201" t="s">
        <v>51</v>
      </c>
      <c r="DF201" t="s">
        <v>51</v>
      </c>
      <c r="DG201" t="s">
        <v>52</v>
      </c>
      <c r="DH201" t="s">
        <v>3</v>
      </c>
      <c r="DI201" t="s">
        <v>52</v>
      </c>
      <c r="DJ201" t="s">
        <v>51</v>
      </c>
      <c r="DK201" t="s">
        <v>3</v>
      </c>
      <c r="DL201" t="s">
        <v>3</v>
      </c>
      <c r="DM201" t="s">
        <v>3</v>
      </c>
      <c r="DN201">
        <v>104</v>
      </c>
      <c r="DO201">
        <v>70</v>
      </c>
      <c r="DP201">
        <v>1</v>
      </c>
      <c r="DQ201">
        <v>1</v>
      </c>
      <c r="DU201">
        <v>1013</v>
      </c>
      <c r="DV201" t="s">
        <v>409</v>
      </c>
      <c r="DW201" t="s">
        <v>409</v>
      </c>
      <c r="DX201">
        <v>1</v>
      </c>
      <c r="DZ201" t="s">
        <v>3</v>
      </c>
      <c r="EA201" t="s">
        <v>3</v>
      </c>
      <c r="EB201" t="s">
        <v>3</v>
      </c>
      <c r="EC201" t="s">
        <v>3</v>
      </c>
      <c r="EE201">
        <v>53212838</v>
      </c>
      <c r="EF201">
        <v>30</v>
      </c>
      <c r="EG201" t="s">
        <v>37</v>
      </c>
      <c r="EH201">
        <v>0</v>
      </c>
      <c r="EI201" t="s">
        <v>3</v>
      </c>
      <c r="EJ201">
        <v>1</v>
      </c>
      <c r="EK201">
        <v>89</v>
      </c>
      <c r="EL201" t="s">
        <v>411</v>
      </c>
      <c r="EM201" t="s">
        <v>412</v>
      </c>
      <c r="EO201" t="s">
        <v>3</v>
      </c>
      <c r="EQ201">
        <v>0</v>
      </c>
      <c r="ER201">
        <v>269.42</v>
      </c>
      <c r="ES201">
        <v>24.75</v>
      </c>
      <c r="ET201">
        <v>1.8</v>
      </c>
      <c r="EU201">
        <v>0</v>
      </c>
      <c r="EV201">
        <v>242.87</v>
      </c>
      <c r="EW201">
        <v>23.33</v>
      </c>
      <c r="EX201">
        <v>0</v>
      </c>
      <c r="EY201">
        <v>0</v>
      </c>
      <c r="FQ201">
        <v>0</v>
      </c>
      <c r="FR201">
        <f t="shared" si="214"/>
        <v>0</v>
      </c>
      <c r="FS201">
        <v>0</v>
      </c>
      <c r="FX201">
        <v>104</v>
      </c>
      <c r="FY201">
        <v>70</v>
      </c>
      <c r="GA201" t="s">
        <v>3</v>
      </c>
      <c r="GD201">
        <v>0</v>
      </c>
      <c r="GF201">
        <v>-2064152424</v>
      </c>
      <c r="GG201">
        <v>2</v>
      </c>
      <c r="GH201">
        <v>1</v>
      </c>
      <c r="GI201">
        <v>2</v>
      </c>
      <c r="GJ201">
        <v>0</v>
      </c>
      <c r="GK201">
        <f>ROUND(R201*(R12)/100,2)</f>
        <v>0</v>
      </c>
      <c r="GL201">
        <f t="shared" si="215"/>
        <v>0</v>
      </c>
      <c r="GM201">
        <f t="shared" si="216"/>
        <v>52212.959999999999</v>
      </c>
      <c r="GN201">
        <f t="shared" si="217"/>
        <v>52212.959999999999</v>
      </c>
      <c r="GO201">
        <f t="shared" si="218"/>
        <v>0</v>
      </c>
      <c r="GP201">
        <f t="shared" si="219"/>
        <v>0</v>
      </c>
      <c r="GR201">
        <v>0</v>
      </c>
      <c r="GS201">
        <v>3</v>
      </c>
      <c r="GT201">
        <v>0</v>
      </c>
      <c r="GU201" t="s">
        <v>3</v>
      </c>
      <c r="GV201">
        <f t="shared" si="220"/>
        <v>0</v>
      </c>
      <c r="GW201">
        <v>1</v>
      </c>
      <c r="GX201">
        <f t="shared" si="221"/>
        <v>0</v>
      </c>
      <c r="HA201">
        <v>0</v>
      </c>
      <c r="HB201">
        <v>0</v>
      </c>
      <c r="HC201">
        <f t="shared" si="222"/>
        <v>0</v>
      </c>
      <c r="HE201" t="s">
        <v>3</v>
      </c>
      <c r="HF201" t="s">
        <v>3</v>
      </c>
      <c r="HM201" t="s">
        <v>3</v>
      </c>
      <c r="HN201" t="s">
        <v>3</v>
      </c>
      <c r="HO201" t="s">
        <v>3</v>
      </c>
      <c r="HP201" t="s">
        <v>3</v>
      </c>
      <c r="HQ201" t="s">
        <v>3</v>
      </c>
      <c r="IK201">
        <v>0</v>
      </c>
    </row>
    <row r="202" spans="1:245" x14ac:dyDescent="0.2">
      <c r="A202">
        <v>18</v>
      </c>
      <c r="B202">
        <v>1</v>
      </c>
      <c r="C202">
        <v>199</v>
      </c>
      <c r="E202" t="s">
        <v>413</v>
      </c>
      <c r="F202" t="s">
        <v>414</v>
      </c>
      <c r="G202" t="s">
        <v>415</v>
      </c>
      <c r="H202" t="s">
        <v>70</v>
      </c>
      <c r="I202">
        <f>I201*J202</f>
        <v>5.5080000000000009</v>
      </c>
      <c r="J202">
        <v>2.04</v>
      </c>
      <c r="K202">
        <v>2.04</v>
      </c>
      <c r="O202">
        <f t="shared" si="191"/>
        <v>25246.71</v>
      </c>
      <c r="P202">
        <f t="shared" si="192"/>
        <v>25246.71</v>
      </c>
      <c r="Q202">
        <f>(ROUND((ROUND(((ET202)*AV202*I202),2)*BB202),2)+ROUND((ROUND(((AE202-(EU202))*AV202*I202),2)*BS202),2))</f>
        <v>0</v>
      </c>
      <c r="R202">
        <f t="shared" si="193"/>
        <v>0</v>
      </c>
      <c r="S202">
        <f t="shared" si="194"/>
        <v>0</v>
      </c>
      <c r="T202">
        <f t="shared" si="195"/>
        <v>0</v>
      </c>
      <c r="U202">
        <f t="shared" si="196"/>
        <v>0</v>
      </c>
      <c r="V202">
        <f t="shared" si="197"/>
        <v>0</v>
      </c>
      <c r="W202">
        <f t="shared" si="198"/>
        <v>0</v>
      </c>
      <c r="X202">
        <f t="shared" si="199"/>
        <v>0</v>
      </c>
      <c r="Y202">
        <f t="shared" si="200"/>
        <v>0</v>
      </c>
      <c r="AA202">
        <v>53860087</v>
      </c>
      <c r="AB202">
        <f t="shared" si="201"/>
        <v>478.96</v>
      </c>
      <c r="AC202">
        <f>ROUND((ES202),6)</f>
        <v>478.96</v>
      </c>
      <c r="AD202">
        <f>ROUND((((ET202)-(EU202))+AE202),6)</f>
        <v>0</v>
      </c>
      <c r="AE202">
        <f>ROUND((EU202),6)</f>
        <v>0</v>
      </c>
      <c r="AF202">
        <f>ROUND((EV202),6)</f>
        <v>0</v>
      </c>
      <c r="AG202">
        <f t="shared" si="202"/>
        <v>0</v>
      </c>
      <c r="AH202">
        <f>(EW202)</f>
        <v>0</v>
      </c>
      <c r="AI202">
        <f>(EX202)</f>
        <v>0</v>
      </c>
      <c r="AJ202">
        <f t="shared" si="203"/>
        <v>0</v>
      </c>
      <c r="AK202">
        <v>478.96</v>
      </c>
      <c r="AL202">
        <v>478.96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1</v>
      </c>
      <c r="AW202">
        <v>1</v>
      </c>
      <c r="AZ202">
        <v>1</v>
      </c>
      <c r="BA202">
        <v>1</v>
      </c>
      <c r="BB202">
        <v>1</v>
      </c>
      <c r="BC202">
        <v>9.57</v>
      </c>
      <c r="BD202" t="s">
        <v>3</v>
      </c>
      <c r="BE202" t="s">
        <v>3</v>
      </c>
      <c r="BF202" t="s">
        <v>3</v>
      </c>
      <c r="BG202" t="s">
        <v>3</v>
      </c>
      <c r="BH202">
        <v>3</v>
      </c>
      <c r="BI202">
        <v>1</v>
      </c>
      <c r="BJ202" t="s">
        <v>416</v>
      </c>
      <c r="BM202">
        <v>89</v>
      </c>
      <c r="BN202">
        <v>36862081</v>
      </c>
      <c r="BO202" t="s">
        <v>414</v>
      </c>
      <c r="BP202">
        <v>1</v>
      </c>
      <c r="BQ202">
        <v>30</v>
      </c>
      <c r="BR202">
        <v>0</v>
      </c>
      <c r="BS202">
        <v>1</v>
      </c>
      <c r="BT202">
        <v>1</v>
      </c>
      <c r="BU202">
        <v>1</v>
      </c>
      <c r="BV202">
        <v>1</v>
      </c>
      <c r="BW202">
        <v>1</v>
      </c>
      <c r="BX202">
        <v>1</v>
      </c>
      <c r="BY202" t="s">
        <v>3</v>
      </c>
      <c r="BZ202">
        <v>0</v>
      </c>
      <c r="CA202">
        <v>0</v>
      </c>
      <c r="CB202" t="s">
        <v>3</v>
      </c>
      <c r="CE202">
        <v>30</v>
      </c>
      <c r="CF202">
        <v>0</v>
      </c>
      <c r="CG202">
        <v>0</v>
      </c>
      <c r="CM202">
        <v>0</v>
      </c>
      <c r="CN202" t="s">
        <v>3</v>
      </c>
      <c r="CO202">
        <v>0</v>
      </c>
      <c r="CP202">
        <f t="shared" si="204"/>
        <v>25246.71</v>
      </c>
      <c r="CQ202">
        <f t="shared" si="205"/>
        <v>4583.6499999999996</v>
      </c>
      <c r="CR202">
        <f>(ROUND((ROUND(((ET202)*AV202*1),2)*BB202),2)+ROUND((ROUND(((AE202-(EU202))*AV202*1),2)*BS202),2))</f>
        <v>0</v>
      </c>
      <c r="CS202">
        <f t="shared" si="206"/>
        <v>0</v>
      </c>
      <c r="CT202">
        <f t="shared" si="207"/>
        <v>0</v>
      </c>
      <c r="CU202">
        <f t="shared" si="208"/>
        <v>0</v>
      </c>
      <c r="CV202">
        <f t="shared" si="209"/>
        <v>0</v>
      </c>
      <c r="CW202">
        <f t="shared" si="210"/>
        <v>0</v>
      </c>
      <c r="CX202">
        <f t="shared" si="211"/>
        <v>0</v>
      </c>
      <c r="CY202">
        <f t="shared" si="212"/>
        <v>0</v>
      </c>
      <c r="CZ202">
        <f t="shared" si="213"/>
        <v>0</v>
      </c>
      <c r="DC202" t="s">
        <v>3</v>
      </c>
      <c r="DD202" t="s">
        <v>3</v>
      </c>
      <c r="DE202" t="s">
        <v>3</v>
      </c>
      <c r="DF202" t="s">
        <v>3</v>
      </c>
      <c r="DG202" t="s">
        <v>3</v>
      </c>
      <c r="DH202" t="s">
        <v>3</v>
      </c>
      <c r="DI202" t="s">
        <v>3</v>
      </c>
      <c r="DJ202" t="s">
        <v>3</v>
      </c>
      <c r="DK202" t="s">
        <v>3</v>
      </c>
      <c r="DL202" t="s">
        <v>3</v>
      </c>
      <c r="DM202" t="s">
        <v>3</v>
      </c>
      <c r="DN202">
        <v>104</v>
      </c>
      <c r="DO202">
        <v>70</v>
      </c>
      <c r="DP202">
        <v>1</v>
      </c>
      <c r="DQ202">
        <v>1</v>
      </c>
      <c r="DU202">
        <v>1007</v>
      </c>
      <c r="DV202" t="s">
        <v>70</v>
      </c>
      <c r="DW202" t="s">
        <v>70</v>
      </c>
      <c r="DX202">
        <v>1</v>
      </c>
      <c r="DZ202" t="s">
        <v>3</v>
      </c>
      <c r="EA202" t="s">
        <v>3</v>
      </c>
      <c r="EB202" t="s">
        <v>3</v>
      </c>
      <c r="EC202" t="s">
        <v>3</v>
      </c>
      <c r="EE202">
        <v>53212838</v>
      </c>
      <c r="EF202">
        <v>30</v>
      </c>
      <c r="EG202" t="s">
        <v>37</v>
      </c>
      <c r="EH202">
        <v>0</v>
      </c>
      <c r="EI202" t="s">
        <v>3</v>
      </c>
      <c r="EJ202">
        <v>1</v>
      </c>
      <c r="EK202">
        <v>89</v>
      </c>
      <c r="EL202" t="s">
        <v>411</v>
      </c>
      <c r="EM202" t="s">
        <v>412</v>
      </c>
      <c r="EO202" t="s">
        <v>3</v>
      </c>
      <c r="EQ202">
        <v>0</v>
      </c>
      <c r="ER202">
        <v>478.96</v>
      </c>
      <c r="ES202">
        <v>478.96</v>
      </c>
      <c r="ET202">
        <v>0</v>
      </c>
      <c r="EU202">
        <v>0</v>
      </c>
      <c r="EV202">
        <v>0</v>
      </c>
      <c r="EW202">
        <v>0</v>
      </c>
      <c r="EX202">
        <v>0</v>
      </c>
      <c r="FQ202">
        <v>0</v>
      </c>
      <c r="FR202">
        <f t="shared" si="214"/>
        <v>0</v>
      </c>
      <c r="FS202">
        <v>0</v>
      </c>
      <c r="FX202">
        <v>104</v>
      </c>
      <c r="FY202">
        <v>70</v>
      </c>
      <c r="GA202" t="s">
        <v>3</v>
      </c>
      <c r="GD202">
        <v>0</v>
      </c>
      <c r="GF202">
        <v>590295705</v>
      </c>
      <c r="GG202">
        <v>2</v>
      </c>
      <c r="GH202">
        <v>1</v>
      </c>
      <c r="GI202">
        <v>2</v>
      </c>
      <c r="GJ202">
        <v>0</v>
      </c>
      <c r="GK202">
        <f>ROUND(R202*(R12)/100,2)</f>
        <v>0</v>
      </c>
      <c r="GL202">
        <f t="shared" si="215"/>
        <v>0</v>
      </c>
      <c r="GM202">
        <f t="shared" si="216"/>
        <v>25246.71</v>
      </c>
      <c r="GN202">
        <f t="shared" si="217"/>
        <v>25246.71</v>
      </c>
      <c r="GO202">
        <f t="shared" si="218"/>
        <v>0</v>
      </c>
      <c r="GP202">
        <f t="shared" si="219"/>
        <v>0</v>
      </c>
      <c r="GR202">
        <v>0</v>
      </c>
      <c r="GS202">
        <v>3</v>
      </c>
      <c r="GT202">
        <v>0</v>
      </c>
      <c r="GU202" t="s">
        <v>3</v>
      </c>
      <c r="GV202">
        <f t="shared" si="220"/>
        <v>0</v>
      </c>
      <c r="GW202">
        <v>1</v>
      </c>
      <c r="GX202">
        <f t="shared" si="221"/>
        <v>0</v>
      </c>
      <c r="HA202">
        <v>0</v>
      </c>
      <c r="HB202">
        <v>0</v>
      </c>
      <c r="HC202">
        <f t="shared" si="222"/>
        <v>0</v>
      </c>
      <c r="HE202" t="s">
        <v>3</v>
      </c>
      <c r="HF202" t="s">
        <v>3</v>
      </c>
      <c r="HM202" t="s">
        <v>3</v>
      </c>
      <c r="HN202" t="s">
        <v>3</v>
      </c>
      <c r="HO202" t="s">
        <v>3</v>
      </c>
      <c r="HP202" t="s">
        <v>3</v>
      </c>
      <c r="HQ202" t="s">
        <v>3</v>
      </c>
      <c r="IK202">
        <v>0</v>
      </c>
    </row>
    <row r="203" spans="1:245" x14ac:dyDescent="0.2">
      <c r="A203">
        <v>17</v>
      </c>
      <c r="B203">
        <v>1</v>
      </c>
      <c r="C203">
        <f>ROW(SmtRes!A202)</f>
        <v>202</v>
      </c>
      <c r="D203">
        <f>ROW(EtalonRes!A313)</f>
        <v>313</v>
      </c>
      <c r="E203" t="s">
        <v>417</v>
      </c>
      <c r="F203" t="s">
        <v>418</v>
      </c>
      <c r="G203" t="s">
        <v>419</v>
      </c>
      <c r="H203" t="s">
        <v>409</v>
      </c>
      <c r="I203">
        <f>ROUND(270/100,9)</f>
        <v>2.7</v>
      </c>
      <c r="J203">
        <v>0</v>
      </c>
      <c r="K203">
        <f>ROUND(270/100,9)</f>
        <v>2.7</v>
      </c>
      <c r="O203">
        <f t="shared" si="191"/>
        <v>1742.53</v>
      </c>
      <c r="P203">
        <f t="shared" si="192"/>
        <v>0</v>
      </c>
      <c r="Q203">
        <f>(ROUND((ROUND(((((ET203*1.25)*4))*AV203*I203),2)*BB203),2)+ROUND((ROUND(((AE203-(((EU203*1.25)*4)))*AV203*I203),2)*BS203),2))</f>
        <v>60.24</v>
      </c>
      <c r="R203">
        <f t="shared" si="193"/>
        <v>0</v>
      </c>
      <c r="S203">
        <f t="shared" si="194"/>
        <v>1682.29</v>
      </c>
      <c r="T203">
        <f t="shared" si="195"/>
        <v>0</v>
      </c>
      <c r="U203">
        <f t="shared" si="196"/>
        <v>5.4648000000000003</v>
      </c>
      <c r="V203">
        <f t="shared" si="197"/>
        <v>0</v>
      </c>
      <c r="W203">
        <f t="shared" si="198"/>
        <v>0</v>
      </c>
      <c r="X203">
        <f t="shared" si="199"/>
        <v>1463.59</v>
      </c>
      <c r="Y203">
        <f t="shared" si="200"/>
        <v>689.74</v>
      </c>
      <c r="AA203">
        <v>53860087</v>
      </c>
      <c r="AB203">
        <f t="shared" si="201"/>
        <v>23</v>
      </c>
      <c r="AC203">
        <f>ROUND(((ES203*4)),6)</f>
        <v>0</v>
      </c>
      <c r="AD203">
        <f>ROUND((((((ET203*1.25)*4))-(((EU203*1.25)*4)))+AE203),6)</f>
        <v>2.2999999999999998</v>
      </c>
      <c r="AE203">
        <f>ROUND((((EU203*1.25)*4)),6)</f>
        <v>0</v>
      </c>
      <c r="AF203">
        <f>ROUND((((EV203*1.15)*4)),6)</f>
        <v>20.7</v>
      </c>
      <c r="AG203">
        <f t="shared" si="202"/>
        <v>0</v>
      </c>
      <c r="AH203">
        <f>(((EW203*1.15)*4))</f>
        <v>2.024</v>
      </c>
      <c r="AI203">
        <f>(((EX203*1.25)*4))</f>
        <v>0</v>
      </c>
      <c r="AJ203">
        <f t="shared" si="203"/>
        <v>0</v>
      </c>
      <c r="AK203">
        <v>4.96</v>
      </c>
      <c r="AL203">
        <v>0</v>
      </c>
      <c r="AM203">
        <v>0.46</v>
      </c>
      <c r="AN203">
        <v>0</v>
      </c>
      <c r="AO203">
        <v>4.5</v>
      </c>
      <c r="AP203">
        <v>0</v>
      </c>
      <c r="AQ203">
        <v>0.44</v>
      </c>
      <c r="AR203">
        <v>0</v>
      </c>
      <c r="AS203">
        <v>0</v>
      </c>
      <c r="AT203">
        <v>87</v>
      </c>
      <c r="AU203">
        <v>41</v>
      </c>
      <c r="AV203">
        <v>1</v>
      </c>
      <c r="AW203">
        <v>1</v>
      </c>
      <c r="AZ203">
        <v>1</v>
      </c>
      <c r="BA203">
        <v>30.1</v>
      </c>
      <c r="BB203">
        <v>9.6999999999999993</v>
      </c>
      <c r="BC203">
        <v>1</v>
      </c>
      <c r="BD203" t="s">
        <v>3</v>
      </c>
      <c r="BE203" t="s">
        <v>3</v>
      </c>
      <c r="BF203" t="s">
        <v>3</v>
      </c>
      <c r="BG203" t="s">
        <v>3</v>
      </c>
      <c r="BH203">
        <v>0</v>
      </c>
      <c r="BI203">
        <v>1</v>
      </c>
      <c r="BJ203" t="s">
        <v>420</v>
      </c>
      <c r="BM203">
        <v>89</v>
      </c>
      <c r="BN203">
        <v>36862081</v>
      </c>
      <c r="BO203" t="s">
        <v>418</v>
      </c>
      <c r="BP203">
        <v>1</v>
      </c>
      <c r="BQ203">
        <v>30</v>
      </c>
      <c r="BR203">
        <v>0</v>
      </c>
      <c r="BS203">
        <v>30.1</v>
      </c>
      <c r="BT203">
        <v>1</v>
      </c>
      <c r="BU203">
        <v>1</v>
      </c>
      <c r="BV203">
        <v>1</v>
      </c>
      <c r="BW203">
        <v>1</v>
      </c>
      <c r="BX203">
        <v>1</v>
      </c>
      <c r="BY203" t="s">
        <v>3</v>
      </c>
      <c r="BZ203">
        <v>87</v>
      </c>
      <c r="CA203">
        <v>41</v>
      </c>
      <c r="CB203" t="s">
        <v>3</v>
      </c>
      <c r="CE203">
        <v>30</v>
      </c>
      <c r="CF203">
        <v>0</v>
      </c>
      <c r="CG203">
        <v>0</v>
      </c>
      <c r="CM203">
        <v>0</v>
      </c>
      <c r="CN203" t="s">
        <v>3</v>
      </c>
      <c r="CO203">
        <v>0</v>
      </c>
      <c r="CP203">
        <f t="shared" si="204"/>
        <v>1742.53</v>
      </c>
      <c r="CQ203">
        <f t="shared" si="205"/>
        <v>0</v>
      </c>
      <c r="CR203">
        <f>(ROUND((ROUND(((((ET203*1.25)*4))*AV203*1),2)*BB203),2)+ROUND((ROUND(((AE203-(((EU203*1.25)*4)))*AV203*1),2)*BS203),2))</f>
        <v>22.31</v>
      </c>
      <c r="CS203">
        <f t="shared" si="206"/>
        <v>0</v>
      </c>
      <c r="CT203">
        <f t="shared" si="207"/>
        <v>623.07000000000005</v>
      </c>
      <c r="CU203">
        <f t="shared" si="208"/>
        <v>0</v>
      </c>
      <c r="CV203">
        <f t="shared" si="209"/>
        <v>2.024</v>
      </c>
      <c r="CW203">
        <f t="shared" si="210"/>
        <v>0</v>
      </c>
      <c r="CX203">
        <f t="shared" si="211"/>
        <v>0</v>
      </c>
      <c r="CY203">
        <f t="shared" si="212"/>
        <v>1463.5923</v>
      </c>
      <c r="CZ203">
        <f t="shared" si="213"/>
        <v>689.73889999999994</v>
      </c>
      <c r="DC203" t="s">
        <v>3</v>
      </c>
      <c r="DD203" t="s">
        <v>421</v>
      </c>
      <c r="DE203" t="s">
        <v>422</v>
      </c>
      <c r="DF203" t="s">
        <v>422</v>
      </c>
      <c r="DG203" t="s">
        <v>423</v>
      </c>
      <c r="DH203" t="s">
        <v>3</v>
      </c>
      <c r="DI203" t="s">
        <v>423</v>
      </c>
      <c r="DJ203" t="s">
        <v>422</v>
      </c>
      <c r="DK203" t="s">
        <v>3</v>
      </c>
      <c r="DL203" t="s">
        <v>3</v>
      </c>
      <c r="DM203" t="s">
        <v>3</v>
      </c>
      <c r="DN203">
        <v>104</v>
      </c>
      <c r="DO203">
        <v>70</v>
      </c>
      <c r="DP203">
        <v>1</v>
      </c>
      <c r="DQ203">
        <v>1</v>
      </c>
      <c r="DU203">
        <v>1013</v>
      </c>
      <c r="DV203" t="s">
        <v>409</v>
      </c>
      <c r="DW203" t="s">
        <v>409</v>
      </c>
      <c r="DX203">
        <v>1</v>
      </c>
      <c r="DZ203" t="s">
        <v>3</v>
      </c>
      <c r="EA203" t="s">
        <v>3</v>
      </c>
      <c r="EB203" t="s">
        <v>3</v>
      </c>
      <c r="EC203" t="s">
        <v>3</v>
      </c>
      <c r="EE203">
        <v>53212838</v>
      </c>
      <c r="EF203">
        <v>30</v>
      </c>
      <c r="EG203" t="s">
        <v>37</v>
      </c>
      <c r="EH203">
        <v>0</v>
      </c>
      <c r="EI203" t="s">
        <v>3</v>
      </c>
      <c r="EJ203">
        <v>1</v>
      </c>
      <c r="EK203">
        <v>89</v>
      </c>
      <c r="EL203" t="s">
        <v>411</v>
      </c>
      <c r="EM203" t="s">
        <v>412</v>
      </c>
      <c r="EO203" t="s">
        <v>3</v>
      </c>
      <c r="EQ203">
        <v>0</v>
      </c>
      <c r="ER203">
        <v>4.96</v>
      </c>
      <c r="ES203">
        <v>0</v>
      </c>
      <c r="ET203">
        <v>0.46</v>
      </c>
      <c r="EU203">
        <v>0</v>
      </c>
      <c r="EV203">
        <v>4.5</v>
      </c>
      <c r="EW203">
        <v>0.44</v>
      </c>
      <c r="EX203">
        <v>0</v>
      </c>
      <c r="EY203">
        <v>0</v>
      </c>
      <c r="FQ203">
        <v>0</v>
      </c>
      <c r="FR203">
        <f t="shared" si="214"/>
        <v>0</v>
      </c>
      <c r="FS203">
        <v>0</v>
      </c>
      <c r="FX203">
        <v>104</v>
      </c>
      <c r="FY203">
        <v>70</v>
      </c>
      <c r="GA203" t="s">
        <v>3</v>
      </c>
      <c r="GD203">
        <v>0</v>
      </c>
      <c r="GF203">
        <v>-1480989515</v>
      </c>
      <c r="GG203">
        <v>2</v>
      </c>
      <c r="GH203">
        <v>1</v>
      </c>
      <c r="GI203">
        <v>2</v>
      </c>
      <c r="GJ203">
        <v>0</v>
      </c>
      <c r="GK203">
        <f>ROUND(R203*(R12)/100,2)</f>
        <v>0</v>
      </c>
      <c r="GL203">
        <f t="shared" si="215"/>
        <v>0</v>
      </c>
      <c r="GM203">
        <f t="shared" si="216"/>
        <v>3895.86</v>
      </c>
      <c r="GN203">
        <f t="shared" si="217"/>
        <v>3895.86</v>
      </c>
      <c r="GO203">
        <f t="shared" si="218"/>
        <v>0</v>
      </c>
      <c r="GP203">
        <f t="shared" si="219"/>
        <v>0</v>
      </c>
      <c r="GR203">
        <v>0</v>
      </c>
      <c r="GS203">
        <v>3</v>
      </c>
      <c r="GT203">
        <v>0</v>
      </c>
      <c r="GU203" t="s">
        <v>3</v>
      </c>
      <c r="GV203">
        <f t="shared" si="220"/>
        <v>0</v>
      </c>
      <c r="GW203">
        <v>1</v>
      </c>
      <c r="GX203">
        <f t="shared" si="221"/>
        <v>0</v>
      </c>
      <c r="HA203">
        <v>0</v>
      </c>
      <c r="HB203">
        <v>0</v>
      </c>
      <c r="HC203">
        <f t="shared" si="222"/>
        <v>0</v>
      </c>
      <c r="HE203" t="s">
        <v>3</v>
      </c>
      <c r="HF203" t="s">
        <v>3</v>
      </c>
      <c r="HM203" t="s">
        <v>3</v>
      </c>
      <c r="HN203" t="s">
        <v>3</v>
      </c>
      <c r="HO203" t="s">
        <v>3</v>
      </c>
      <c r="HP203" t="s">
        <v>3</v>
      </c>
      <c r="HQ203" t="s">
        <v>3</v>
      </c>
      <c r="IK203">
        <v>0</v>
      </c>
    </row>
    <row r="204" spans="1:245" x14ac:dyDescent="0.2">
      <c r="A204">
        <v>18</v>
      </c>
      <c r="B204">
        <v>1</v>
      </c>
      <c r="C204">
        <v>202</v>
      </c>
      <c r="E204" t="s">
        <v>424</v>
      </c>
      <c r="F204" t="s">
        <v>414</v>
      </c>
      <c r="G204" t="s">
        <v>415</v>
      </c>
      <c r="H204" t="s">
        <v>70</v>
      </c>
      <c r="I204">
        <f>I203*J204</f>
        <v>5.5080000000000009</v>
      </c>
      <c r="J204">
        <v>2.04</v>
      </c>
      <c r="K204">
        <v>0.51</v>
      </c>
      <c r="O204">
        <f t="shared" si="191"/>
        <v>25246.71</v>
      </c>
      <c r="P204">
        <f t="shared" si="192"/>
        <v>25246.71</v>
      </c>
      <c r="Q204">
        <f>(ROUND((ROUND(((ET204)*AV204*I204),2)*BB204),2)+ROUND((ROUND(((AE204-(EU204))*AV204*I204),2)*BS204),2))</f>
        <v>0</v>
      </c>
      <c r="R204">
        <f t="shared" si="193"/>
        <v>0</v>
      </c>
      <c r="S204">
        <f t="shared" si="194"/>
        <v>0</v>
      </c>
      <c r="T204">
        <f t="shared" si="195"/>
        <v>0</v>
      </c>
      <c r="U204">
        <f t="shared" si="196"/>
        <v>0</v>
      </c>
      <c r="V204">
        <f t="shared" si="197"/>
        <v>0</v>
      </c>
      <c r="W204">
        <f t="shared" si="198"/>
        <v>0</v>
      </c>
      <c r="X204">
        <f t="shared" si="199"/>
        <v>0</v>
      </c>
      <c r="Y204">
        <f t="shared" si="200"/>
        <v>0</v>
      </c>
      <c r="AA204">
        <v>53860087</v>
      </c>
      <c r="AB204">
        <f t="shared" si="201"/>
        <v>478.96</v>
      </c>
      <c r="AC204">
        <f t="shared" ref="AC204:AC230" si="223">ROUND((ES204),6)</f>
        <v>478.96</v>
      </c>
      <c r="AD204">
        <f>ROUND((((ET204)-(EU204))+AE204),6)</f>
        <v>0</v>
      </c>
      <c r="AE204">
        <f>ROUND((EU204),6)</f>
        <v>0</v>
      </c>
      <c r="AF204">
        <f>ROUND((EV204),6)</f>
        <v>0</v>
      </c>
      <c r="AG204">
        <f t="shared" si="202"/>
        <v>0</v>
      </c>
      <c r="AH204">
        <f>(EW204)</f>
        <v>0</v>
      </c>
      <c r="AI204">
        <f>(EX204)</f>
        <v>0</v>
      </c>
      <c r="AJ204">
        <f t="shared" si="203"/>
        <v>0</v>
      </c>
      <c r="AK204">
        <v>478.96</v>
      </c>
      <c r="AL204">
        <v>478.96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1</v>
      </c>
      <c r="AW204">
        <v>1</v>
      </c>
      <c r="AZ204">
        <v>1</v>
      </c>
      <c r="BA204">
        <v>1</v>
      </c>
      <c r="BB204">
        <v>1</v>
      </c>
      <c r="BC204">
        <v>9.57</v>
      </c>
      <c r="BD204" t="s">
        <v>3</v>
      </c>
      <c r="BE204" t="s">
        <v>3</v>
      </c>
      <c r="BF204" t="s">
        <v>3</v>
      </c>
      <c r="BG204" t="s">
        <v>3</v>
      </c>
      <c r="BH204">
        <v>3</v>
      </c>
      <c r="BI204">
        <v>1</v>
      </c>
      <c r="BJ204" t="s">
        <v>416</v>
      </c>
      <c r="BM204">
        <v>89</v>
      </c>
      <c r="BN204">
        <v>36862081</v>
      </c>
      <c r="BO204" t="s">
        <v>414</v>
      </c>
      <c r="BP204">
        <v>1</v>
      </c>
      <c r="BQ204">
        <v>30</v>
      </c>
      <c r="BR204">
        <v>0</v>
      </c>
      <c r="BS204">
        <v>1</v>
      </c>
      <c r="BT204">
        <v>1</v>
      </c>
      <c r="BU204">
        <v>1</v>
      </c>
      <c r="BV204">
        <v>1</v>
      </c>
      <c r="BW204">
        <v>1</v>
      </c>
      <c r="BX204">
        <v>1</v>
      </c>
      <c r="BY204" t="s">
        <v>3</v>
      </c>
      <c r="BZ204">
        <v>0</v>
      </c>
      <c r="CA204">
        <v>0</v>
      </c>
      <c r="CB204" t="s">
        <v>3</v>
      </c>
      <c r="CE204">
        <v>30</v>
      </c>
      <c r="CF204">
        <v>0</v>
      </c>
      <c r="CG204">
        <v>0</v>
      </c>
      <c r="CM204">
        <v>0</v>
      </c>
      <c r="CN204" t="s">
        <v>3</v>
      </c>
      <c r="CO204">
        <v>0</v>
      </c>
      <c r="CP204">
        <f t="shared" si="204"/>
        <v>25246.71</v>
      </c>
      <c r="CQ204">
        <f t="shared" si="205"/>
        <v>4583.6499999999996</v>
      </c>
      <c r="CR204">
        <f>(ROUND((ROUND(((ET204)*AV204*1),2)*BB204),2)+ROUND((ROUND(((AE204-(EU204))*AV204*1),2)*BS204),2))</f>
        <v>0</v>
      </c>
      <c r="CS204">
        <f t="shared" si="206"/>
        <v>0</v>
      </c>
      <c r="CT204">
        <f t="shared" si="207"/>
        <v>0</v>
      </c>
      <c r="CU204">
        <f t="shared" si="208"/>
        <v>0</v>
      </c>
      <c r="CV204">
        <f t="shared" si="209"/>
        <v>0</v>
      </c>
      <c r="CW204">
        <f t="shared" si="210"/>
        <v>0</v>
      </c>
      <c r="CX204">
        <f t="shared" si="211"/>
        <v>0</v>
      </c>
      <c r="CY204">
        <f t="shared" si="212"/>
        <v>0</v>
      </c>
      <c r="CZ204">
        <f t="shared" si="213"/>
        <v>0</v>
      </c>
      <c r="DC204" t="s">
        <v>3</v>
      </c>
      <c r="DD204" t="s">
        <v>3</v>
      </c>
      <c r="DE204" t="s">
        <v>3</v>
      </c>
      <c r="DF204" t="s">
        <v>3</v>
      </c>
      <c r="DG204" t="s">
        <v>3</v>
      </c>
      <c r="DH204" t="s">
        <v>3</v>
      </c>
      <c r="DI204" t="s">
        <v>3</v>
      </c>
      <c r="DJ204" t="s">
        <v>3</v>
      </c>
      <c r="DK204" t="s">
        <v>3</v>
      </c>
      <c r="DL204" t="s">
        <v>3</v>
      </c>
      <c r="DM204" t="s">
        <v>3</v>
      </c>
      <c r="DN204">
        <v>104</v>
      </c>
      <c r="DO204">
        <v>70</v>
      </c>
      <c r="DP204">
        <v>1</v>
      </c>
      <c r="DQ204">
        <v>1</v>
      </c>
      <c r="DU204">
        <v>1007</v>
      </c>
      <c r="DV204" t="s">
        <v>70</v>
      </c>
      <c r="DW204" t="s">
        <v>70</v>
      </c>
      <c r="DX204">
        <v>1</v>
      </c>
      <c r="DZ204" t="s">
        <v>3</v>
      </c>
      <c r="EA204" t="s">
        <v>3</v>
      </c>
      <c r="EB204" t="s">
        <v>3</v>
      </c>
      <c r="EC204" t="s">
        <v>3</v>
      </c>
      <c r="EE204">
        <v>53212838</v>
      </c>
      <c r="EF204">
        <v>30</v>
      </c>
      <c r="EG204" t="s">
        <v>37</v>
      </c>
      <c r="EH204">
        <v>0</v>
      </c>
      <c r="EI204" t="s">
        <v>3</v>
      </c>
      <c r="EJ204">
        <v>1</v>
      </c>
      <c r="EK204">
        <v>89</v>
      </c>
      <c r="EL204" t="s">
        <v>411</v>
      </c>
      <c r="EM204" t="s">
        <v>412</v>
      </c>
      <c r="EO204" t="s">
        <v>3</v>
      </c>
      <c r="EQ204">
        <v>0</v>
      </c>
      <c r="ER204">
        <v>478.96</v>
      </c>
      <c r="ES204">
        <v>478.96</v>
      </c>
      <c r="ET204">
        <v>0</v>
      </c>
      <c r="EU204">
        <v>0</v>
      </c>
      <c r="EV204">
        <v>0</v>
      </c>
      <c r="EW204">
        <v>0</v>
      </c>
      <c r="EX204">
        <v>0</v>
      </c>
      <c r="FQ204">
        <v>0</v>
      </c>
      <c r="FR204">
        <f t="shared" si="214"/>
        <v>0</v>
      </c>
      <c r="FS204">
        <v>0</v>
      </c>
      <c r="FX204">
        <v>104</v>
      </c>
      <c r="FY204">
        <v>70</v>
      </c>
      <c r="GA204" t="s">
        <v>3</v>
      </c>
      <c r="GD204">
        <v>0</v>
      </c>
      <c r="GF204">
        <v>590295705</v>
      </c>
      <c r="GG204">
        <v>2</v>
      </c>
      <c r="GH204">
        <v>1</v>
      </c>
      <c r="GI204">
        <v>2</v>
      </c>
      <c r="GJ204">
        <v>0</v>
      </c>
      <c r="GK204">
        <f>ROUND(R204*(R12)/100,2)</f>
        <v>0</v>
      </c>
      <c r="GL204">
        <f t="shared" si="215"/>
        <v>0</v>
      </c>
      <c r="GM204">
        <f t="shared" si="216"/>
        <v>25246.71</v>
      </c>
      <c r="GN204">
        <f t="shared" si="217"/>
        <v>25246.71</v>
      </c>
      <c r="GO204">
        <f t="shared" si="218"/>
        <v>0</v>
      </c>
      <c r="GP204">
        <f t="shared" si="219"/>
        <v>0</v>
      </c>
      <c r="GR204">
        <v>0</v>
      </c>
      <c r="GS204">
        <v>3</v>
      </c>
      <c r="GT204">
        <v>0</v>
      </c>
      <c r="GU204" t="s">
        <v>3</v>
      </c>
      <c r="GV204">
        <f t="shared" si="220"/>
        <v>0</v>
      </c>
      <c r="GW204">
        <v>1</v>
      </c>
      <c r="GX204">
        <f t="shared" si="221"/>
        <v>0</v>
      </c>
      <c r="HA204">
        <v>0</v>
      </c>
      <c r="HB204">
        <v>0</v>
      </c>
      <c r="HC204">
        <f t="shared" si="222"/>
        <v>0</v>
      </c>
      <c r="HE204" t="s">
        <v>3</v>
      </c>
      <c r="HF204" t="s">
        <v>3</v>
      </c>
      <c r="HM204" t="s">
        <v>421</v>
      </c>
      <c r="HN204" t="s">
        <v>3</v>
      </c>
      <c r="HO204" t="s">
        <v>3</v>
      </c>
      <c r="HP204" t="s">
        <v>3</v>
      </c>
      <c r="HQ204" t="s">
        <v>3</v>
      </c>
      <c r="IK204">
        <v>0</v>
      </c>
    </row>
    <row r="205" spans="1:245" x14ac:dyDescent="0.2">
      <c r="A205">
        <v>17</v>
      </c>
      <c r="B205">
        <v>1</v>
      </c>
      <c r="C205">
        <f>ROW(SmtRes!A207)</f>
        <v>207</v>
      </c>
      <c r="D205">
        <f>ROW(EtalonRes!A318)</f>
        <v>318</v>
      </c>
      <c r="E205" t="s">
        <v>425</v>
      </c>
      <c r="F205" t="s">
        <v>426</v>
      </c>
      <c r="G205" t="s">
        <v>427</v>
      </c>
      <c r="H205" t="s">
        <v>428</v>
      </c>
      <c r="I205">
        <f>ROUND(3.2*270/1000,9)</f>
        <v>0.86399999999999999</v>
      </c>
      <c r="J205">
        <v>0</v>
      </c>
      <c r="K205">
        <f>ROUND(3.2*270/1000,9)</f>
        <v>0.86399999999999999</v>
      </c>
      <c r="O205">
        <f t="shared" si="191"/>
        <v>6385.3</v>
      </c>
      <c r="P205">
        <f t="shared" si="192"/>
        <v>1823.16</v>
      </c>
      <c r="Q205">
        <f>(ROUND((ROUND((((ET205*1.25))*AV205*I205),2)*BB205),2)+ROUND((ROUND(((AE205-((EU205*1.25)))*AV205*I205),2)*BS205),2))</f>
        <v>534.16</v>
      </c>
      <c r="R205">
        <f t="shared" si="193"/>
        <v>164.35</v>
      </c>
      <c r="S205">
        <f t="shared" si="194"/>
        <v>4027.98</v>
      </c>
      <c r="T205">
        <f t="shared" si="195"/>
        <v>0</v>
      </c>
      <c r="U205">
        <f t="shared" si="196"/>
        <v>11.525759999999998</v>
      </c>
      <c r="V205">
        <f t="shared" si="197"/>
        <v>0</v>
      </c>
      <c r="W205">
        <f t="shared" si="198"/>
        <v>0</v>
      </c>
      <c r="X205">
        <f t="shared" si="199"/>
        <v>2819.59</v>
      </c>
      <c r="Y205">
        <f t="shared" si="200"/>
        <v>1651.47</v>
      </c>
      <c r="AA205">
        <v>53860087</v>
      </c>
      <c r="AB205">
        <f t="shared" si="201"/>
        <v>468.16699999999997</v>
      </c>
      <c r="AC205">
        <f t="shared" si="223"/>
        <v>258.91000000000003</v>
      </c>
      <c r="AD205">
        <f>ROUND(((((ET205*1.25))-((EU205*1.25)))+AE205),6)</f>
        <v>54.375</v>
      </c>
      <c r="AE205">
        <f>ROUND(((EU205*1.25)),6)</f>
        <v>6.3250000000000002</v>
      </c>
      <c r="AF205">
        <f>ROUND(((EV205*1.15)),6)</f>
        <v>154.88200000000001</v>
      </c>
      <c r="AG205">
        <f t="shared" si="202"/>
        <v>0</v>
      </c>
      <c r="AH205">
        <f>((EW205*1.15))</f>
        <v>13.339999999999998</v>
      </c>
      <c r="AI205">
        <f>((EX205*1.25))</f>
        <v>0</v>
      </c>
      <c r="AJ205">
        <f t="shared" si="203"/>
        <v>0</v>
      </c>
      <c r="AK205">
        <v>437.09</v>
      </c>
      <c r="AL205">
        <v>258.91000000000003</v>
      </c>
      <c r="AM205">
        <v>43.5</v>
      </c>
      <c r="AN205">
        <v>5.0599999999999996</v>
      </c>
      <c r="AO205">
        <v>134.68</v>
      </c>
      <c r="AP205">
        <v>0</v>
      </c>
      <c r="AQ205">
        <v>11.6</v>
      </c>
      <c r="AR205">
        <v>0</v>
      </c>
      <c r="AS205">
        <v>0</v>
      </c>
      <c r="AT205">
        <v>70</v>
      </c>
      <c r="AU205">
        <v>41</v>
      </c>
      <c r="AV205">
        <v>1</v>
      </c>
      <c r="AW205">
        <v>1</v>
      </c>
      <c r="AZ205">
        <v>1</v>
      </c>
      <c r="BA205">
        <v>30.1</v>
      </c>
      <c r="BB205">
        <v>11.37</v>
      </c>
      <c r="BC205">
        <v>8.15</v>
      </c>
      <c r="BD205" t="s">
        <v>3</v>
      </c>
      <c r="BE205" t="s">
        <v>3</v>
      </c>
      <c r="BF205" t="s">
        <v>3</v>
      </c>
      <c r="BG205" t="s">
        <v>3</v>
      </c>
      <c r="BH205">
        <v>0</v>
      </c>
      <c r="BI205">
        <v>1</v>
      </c>
      <c r="BJ205" t="s">
        <v>429</v>
      </c>
      <c r="BM205">
        <v>47</v>
      </c>
      <c r="BN205">
        <v>36862081</v>
      </c>
      <c r="BO205" t="s">
        <v>426</v>
      </c>
      <c r="BP205">
        <v>1</v>
      </c>
      <c r="BQ205">
        <v>30</v>
      </c>
      <c r="BR205">
        <v>0</v>
      </c>
      <c r="BS205">
        <v>30.1</v>
      </c>
      <c r="BT205">
        <v>1</v>
      </c>
      <c r="BU205">
        <v>1</v>
      </c>
      <c r="BV205">
        <v>1</v>
      </c>
      <c r="BW205">
        <v>1</v>
      </c>
      <c r="BX205">
        <v>1</v>
      </c>
      <c r="BY205" t="s">
        <v>3</v>
      </c>
      <c r="BZ205">
        <v>70</v>
      </c>
      <c r="CA205">
        <v>41</v>
      </c>
      <c r="CB205" t="s">
        <v>3</v>
      </c>
      <c r="CE205">
        <v>30</v>
      </c>
      <c r="CF205">
        <v>0</v>
      </c>
      <c r="CG205">
        <v>0</v>
      </c>
      <c r="CM205">
        <v>0</v>
      </c>
      <c r="CN205" t="s">
        <v>3</v>
      </c>
      <c r="CO205">
        <v>0</v>
      </c>
      <c r="CP205">
        <f t="shared" si="204"/>
        <v>6385.3</v>
      </c>
      <c r="CQ205">
        <f t="shared" si="205"/>
        <v>2110.12</v>
      </c>
      <c r="CR205">
        <f>(ROUND((ROUND((((ET205*1.25))*AV205*1),2)*BB205),2)+ROUND((ROUND(((AE205-((EU205*1.25)))*AV205*1),2)*BS205),2))</f>
        <v>618.29999999999995</v>
      </c>
      <c r="CS205">
        <f t="shared" si="206"/>
        <v>190.53</v>
      </c>
      <c r="CT205">
        <f t="shared" si="207"/>
        <v>4661.8900000000003</v>
      </c>
      <c r="CU205">
        <f t="shared" si="208"/>
        <v>0</v>
      </c>
      <c r="CV205">
        <f t="shared" si="209"/>
        <v>13.339999999999998</v>
      </c>
      <c r="CW205">
        <f t="shared" si="210"/>
        <v>0</v>
      </c>
      <c r="CX205">
        <f t="shared" si="211"/>
        <v>0</v>
      </c>
      <c r="CY205">
        <f t="shared" si="212"/>
        <v>2819.5859999999998</v>
      </c>
      <c r="CZ205">
        <f t="shared" si="213"/>
        <v>1651.4717999999998</v>
      </c>
      <c r="DC205" t="s">
        <v>3</v>
      </c>
      <c r="DD205" t="s">
        <v>3</v>
      </c>
      <c r="DE205" t="s">
        <v>51</v>
      </c>
      <c r="DF205" t="s">
        <v>51</v>
      </c>
      <c r="DG205" t="s">
        <v>52</v>
      </c>
      <c r="DH205" t="s">
        <v>3</v>
      </c>
      <c r="DI205" t="s">
        <v>52</v>
      </c>
      <c r="DJ205" t="s">
        <v>51</v>
      </c>
      <c r="DK205" t="s">
        <v>3</v>
      </c>
      <c r="DL205" t="s">
        <v>3</v>
      </c>
      <c r="DM205" t="s">
        <v>3</v>
      </c>
      <c r="DN205">
        <v>85</v>
      </c>
      <c r="DO205">
        <v>70</v>
      </c>
      <c r="DP205">
        <v>1</v>
      </c>
      <c r="DQ205">
        <v>1</v>
      </c>
      <c r="DU205">
        <v>1013</v>
      </c>
      <c r="DV205" t="s">
        <v>428</v>
      </c>
      <c r="DW205" t="s">
        <v>428</v>
      </c>
      <c r="DX205">
        <v>1</v>
      </c>
      <c r="DZ205" t="s">
        <v>3</v>
      </c>
      <c r="EA205" t="s">
        <v>3</v>
      </c>
      <c r="EB205" t="s">
        <v>3</v>
      </c>
      <c r="EC205" t="s">
        <v>3</v>
      </c>
      <c r="EE205">
        <v>53212796</v>
      </c>
      <c r="EF205">
        <v>30</v>
      </c>
      <c r="EG205" t="s">
        <v>37</v>
      </c>
      <c r="EH205">
        <v>0</v>
      </c>
      <c r="EI205" t="s">
        <v>3</v>
      </c>
      <c r="EJ205">
        <v>1</v>
      </c>
      <c r="EK205">
        <v>47</v>
      </c>
      <c r="EL205" t="s">
        <v>430</v>
      </c>
      <c r="EM205" t="s">
        <v>431</v>
      </c>
      <c r="EO205" t="s">
        <v>3</v>
      </c>
      <c r="EQ205">
        <v>0</v>
      </c>
      <c r="ER205">
        <v>437.09</v>
      </c>
      <c r="ES205">
        <v>258.91000000000003</v>
      </c>
      <c r="ET205">
        <v>43.5</v>
      </c>
      <c r="EU205">
        <v>5.0599999999999996</v>
      </c>
      <c r="EV205">
        <v>134.68</v>
      </c>
      <c r="EW205">
        <v>11.6</v>
      </c>
      <c r="EX205">
        <v>0</v>
      </c>
      <c r="EY205">
        <v>0</v>
      </c>
      <c r="FQ205">
        <v>0</v>
      </c>
      <c r="FR205">
        <f t="shared" si="214"/>
        <v>0</v>
      </c>
      <c r="FS205">
        <v>0</v>
      </c>
      <c r="FX205">
        <v>85</v>
      </c>
      <c r="FY205">
        <v>70</v>
      </c>
      <c r="GA205" t="s">
        <v>3</v>
      </c>
      <c r="GD205">
        <v>0</v>
      </c>
      <c r="GF205">
        <v>728344021</v>
      </c>
      <c r="GG205">
        <v>2</v>
      </c>
      <c r="GH205">
        <v>1</v>
      </c>
      <c r="GI205">
        <v>2</v>
      </c>
      <c r="GJ205">
        <v>0</v>
      </c>
      <c r="GK205">
        <f>ROUND(R205*(R12)/100,2)</f>
        <v>262.95999999999998</v>
      </c>
      <c r="GL205">
        <f t="shared" si="215"/>
        <v>0</v>
      </c>
      <c r="GM205">
        <f t="shared" si="216"/>
        <v>11119.32</v>
      </c>
      <c r="GN205">
        <f t="shared" si="217"/>
        <v>11119.32</v>
      </c>
      <c r="GO205">
        <f t="shared" si="218"/>
        <v>0</v>
      </c>
      <c r="GP205">
        <f t="shared" si="219"/>
        <v>0</v>
      </c>
      <c r="GR205">
        <v>0</v>
      </c>
      <c r="GS205">
        <v>3</v>
      </c>
      <c r="GT205">
        <v>0</v>
      </c>
      <c r="GU205" t="s">
        <v>3</v>
      </c>
      <c r="GV205">
        <f t="shared" si="220"/>
        <v>0</v>
      </c>
      <c r="GW205">
        <v>1</v>
      </c>
      <c r="GX205">
        <f t="shared" si="221"/>
        <v>0</v>
      </c>
      <c r="HA205">
        <v>0</v>
      </c>
      <c r="HB205">
        <v>0</v>
      </c>
      <c r="HC205">
        <f t="shared" si="222"/>
        <v>0</v>
      </c>
      <c r="HE205" t="s">
        <v>3</v>
      </c>
      <c r="HF205" t="s">
        <v>3</v>
      </c>
      <c r="HM205" t="s">
        <v>3</v>
      </c>
      <c r="HN205" t="s">
        <v>3</v>
      </c>
      <c r="HO205" t="s">
        <v>3</v>
      </c>
      <c r="HP205" t="s">
        <v>3</v>
      </c>
      <c r="HQ205" t="s">
        <v>3</v>
      </c>
      <c r="IK205">
        <v>0</v>
      </c>
    </row>
    <row r="206" spans="1:245" x14ac:dyDescent="0.2">
      <c r="A206">
        <v>18</v>
      </c>
      <c r="B206">
        <v>1</v>
      </c>
      <c r="C206">
        <v>207</v>
      </c>
      <c r="E206" t="s">
        <v>432</v>
      </c>
      <c r="F206" t="s">
        <v>433</v>
      </c>
      <c r="G206" t="s">
        <v>434</v>
      </c>
      <c r="H206" t="s">
        <v>75</v>
      </c>
      <c r="I206">
        <f>I205*J206</f>
        <v>0.86399999999999999</v>
      </c>
      <c r="J206">
        <v>1</v>
      </c>
      <c r="K206">
        <v>1</v>
      </c>
      <c r="O206">
        <f t="shared" si="191"/>
        <v>36582.46</v>
      </c>
      <c r="P206">
        <f t="shared" si="192"/>
        <v>36582.46</v>
      </c>
      <c r="Q206">
        <f>(ROUND((ROUND(((ET206)*AV206*I206),2)*BB206),2)+ROUND((ROUND(((AE206-(EU206))*AV206*I206),2)*BS206),2))</f>
        <v>0</v>
      </c>
      <c r="R206">
        <f t="shared" si="193"/>
        <v>0</v>
      </c>
      <c r="S206">
        <f t="shared" si="194"/>
        <v>0</v>
      </c>
      <c r="T206">
        <f t="shared" si="195"/>
        <v>0</v>
      </c>
      <c r="U206">
        <f t="shared" si="196"/>
        <v>0</v>
      </c>
      <c r="V206">
        <f t="shared" si="197"/>
        <v>0</v>
      </c>
      <c r="W206">
        <f t="shared" si="198"/>
        <v>0</v>
      </c>
      <c r="X206">
        <f t="shared" si="199"/>
        <v>0</v>
      </c>
      <c r="Y206">
        <f t="shared" si="200"/>
        <v>0</v>
      </c>
      <c r="AA206">
        <v>53860087</v>
      </c>
      <c r="AB206">
        <f t="shared" si="201"/>
        <v>9733.52</v>
      </c>
      <c r="AC206">
        <f t="shared" si="223"/>
        <v>9733.52</v>
      </c>
      <c r="AD206">
        <f>ROUND((((ET206)-(EU206))+AE206),6)</f>
        <v>0</v>
      </c>
      <c r="AE206">
        <f>ROUND((EU206),6)</f>
        <v>0</v>
      </c>
      <c r="AF206">
        <f>ROUND((EV206),6)</f>
        <v>0</v>
      </c>
      <c r="AG206">
        <f t="shared" si="202"/>
        <v>0</v>
      </c>
      <c r="AH206">
        <f>(EW206)</f>
        <v>0</v>
      </c>
      <c r="AI206">
        <f>(EX206)</f>
        <v>0</v>
      </c>
      <c r="AJ206">
        <f t="shared" si="203"/>
        <v>0</v>
      </c>
      <c r="AK206">
        <v>9733.52</v>
      </c>
      <c r="AL206">
        <v>9733.52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1</v>
      </c>
      <c r="AW206">
        <v>1</v>
      </c>
      <c r="AZ206">
        <v>1</v>
      </c>
      <c r="BA206">
        <v>1</v>
      </c>
      <c r="BB206">
        <v>1</v>
      </c>
      <c r="BC206">
        <v>4.3499999999999996</v>
      </c>
      <c r="BD206" t="s">
        <v>3</v>
      </c>
      <c r="BE206" t="s">
        <v>3</v>
      </c>
      <c r="BF206" t="s">
        <v>3</v>
      </c>
      <c r="BG206" t="s">
        <v>3</v>
      </c>
      <c r="BH206">
        <v>3</v>
      </c>
      <c r="BI206">
        <v>1</v>
      </c>
      <c r="BJ206" t="s">
        <v>435</v>
      </c>
      <c r="BM206">
        <v>47</v>
      </c>
      <c r="BN206">
        <v>36862081</v>
      </c>
      <c r="BO206" t="s">
        <v>433</v>
      </c>
      <c r="BP206">
        <v>1</v>
      </c>
      <c r="BQ206">
        <v>30</v>
      </c>
      <c r="BR206">
        <v>0</v>
      </c>
      <c r="BS206">
        <v>1</v>
      </c>
      <c r="BT206">
        <v>1</v>
      </c>
      <c r="BU206">
        <v>1</v>
      </c>
      <c r="BV206">
        <v>1</v>
      </c>
      <c r="BW206">
        <v>1</v>
      </c>
      <c r="BX206">
        <v>1</v>
      </c>
      <c r="BY206" t="s">
        <v>3</v>
      </c>
      <c r="BZ206">
        <v>0</v>
      </c>
      <c r="CA206">
        <v>0</v>
      </c>
      <c r="CB206" t="s">
        <v>3</v>
      </c>
      <c r="CE206">
        <v>30</v>
      </c>
      <c r="CF206">
        <v>0</v>
      </c>
      <c r="CG206">
        <v>0</v>
      </c>
      <c r="CM206">
        <v>0</v>
      </c>
      <c r="CN206" t="s">
        <v>3</v>
      </c>
      <c r="CO206">
        <v>0</v>
      </c>
      <c r="CP206">
        <f t="shared" si="204"/>
        <v>36582.46</v>
      </c>
      <c r="CQ206">
        <f t="shared" si="205"/>
        <v>42340.81</v>
      </c>
      <c r="CR206">
        <f>(ROUND((ROUND(((ET206)*AV206*1),2)*BB206),2)+ROUND((ROUND(((AE206-(EU206))*AV206*1),2)*BS206),2))</f>
        <v>0</v>
      </c>
      <c r="CS206">
        <f t="shared" si="206"/>
        <v>0</v>
      </c>
      <c r="CT206">
        <f t="shared" si="207"/>
        <v>0</v>
      </c>
      <c r="CU206">
        <f t="shared" si="208"/>
        <v>0</v>
      </c>
      <c r="CV206">
        <f t="shared" si="209"/>
        <v>0</v>
      </c>
      <c r="CW206">
        <f t="shared" si="210"/>
        <v>0</v>
      </c>
      <c r="CX206">
        <f t="shared" si="211"/>
        <v>0</v>
      </c>
      <c r="CY206">
        <f t="shared" si="212"/>
        <v>0</v>
      </c>
      <c r="CZ206">
        <f t="shared" si="213"/>
        <v>0</v>
      </c>
      <c r="DC206" t="s">
        <v>3</v>
      </c>
      <c r="DD206" t="s">
        <v>3</v>
      </c>
      <c r="DE206" t="s">
        <v>3</v>
      </c>
      <c r="DF206" t="s">
        <v>3</v>
      </c>
      <c r="DG206" t="s">
        <v>3</v>
      </c>
      <c r="DH206" t="s">
        <v>3</v>
      </c>
      <c r="DI206" t="s">
        <v>3</v>
      </c>
      <c r="DJ206" t="s">
        <v>3</v>
      </c>
      <c r="DK206" t="s">
        <v>3</v>
      </c>
      <c r="DL206" t="s">
        <v>3</v>
      </c>
      <c r="DM206" t="s">
        <v>3</v>
      </c>
      <c r="DN206">
        <v>85</v>
      </c>
      <c r="DO206">
        <v>70</v>
      </c>
      <c r="DP206">
        <v>1</v>
      </c>
      <c r="DQ206">
        <v>1</v>
      </c>
      <c r="DU206">
        <v>1009</v>
      </c>
      <c r="DV206" t="s">
        <v>75</v>
      </c>
      <c r="DW206" t="s">
        <v>75</v>
      </c>
      <c r="DX206">
        <v>1000</v>
      </c>
      <c r="DZ206" t="s">
        <v>3</v>
      </c>
      <c r="EA206" t="s">
        <v>3</v>
      </c>
      <c r="EB206" t="s">
        <v>3</v>
      </c>
      <c r="EC206" t="s">
        <v>3</v>
      </c>
      <c r="EE206">
        <v>53212796</v>
      </c>
      <c r="EF206">
        <v>30</v>
      </c>
      <c r="EG206" t="s">
        <v>37</v>
      </c>
      <c r="EH206">
        <v>0</v>
      </c>
      <c r="EI206" t="s">
        <v>3</v>
      </c>
      <c r="EJ206">
        <v>1</v>
      </c>
      <c r="EK206">
        <v>47</v>
      </c>
      <c r="EL206" t="s">
        <v>430</v>
      </c>
      <c r="EM206" t="s">
        <v>431</v>
      </c>
      <c r="EO206" t="s">
        <v>3</v>
      </c>
      <c r="EQ206">
        <v>0</v>
      </c>
      <c r="ER206">
        <v>9733.52</v>
      </c>
      <c r="ES206">
        <v>9733.52</v>
      </c>
      <c r="ET206">
        <v>0</v>
      </c>
      <c r="EU206">
        <v>0</v>
      </c>
      <c r="EV206">
        <v>0</v>
      </c>
      <c r="EW206">
        <v>0</v>
      </c>
      <c r="EX206">
        <v>0</v>
      </c>
      <c r="FQ206">
        <v>0</v>
      </c>
      <c r="FR206">
        <f t="shared" si="214"/>
        <v>0</v>
      </c>
      <c r="FS206">
        <v>0</v>
      </c>
      <c r="FX206">
        <v>85</v>
      </c>
      <c r="FY206">
        <v>70</v>
      </c>
      <c r="GA206" t="s">
        <v>3</v>
      </c>
      <c r="GD206">
        <v>0</v>
      </c>
      <c r="GF206">
        <v>-78243209</v>
      </c>
      <c r="GG206">
        <v>2</v>
      </c>
      <c r="GH206">
        <v>1</v>
      </c>
      <c r="GI206">
        <v>2</v>
      </c>
      <c r="GJ206">
        <v>0</v>
      </c>
      <c r="GK206">
        <f>ROUND(R206*(R12)/100,2)</f>
        <v>0</v>
      </c>
      <c r="GL206">
        <f t="shared" si="215"/>
        <v>0</v>
      </c>
      <c r="GM206">
        <f t="shared" si="216"/>
        <v>36582.46</v>
      </c>
      <c r="GN206">
        <f t="shared" si="217"/>
        <v>36582.46</v>
      </c>
      <c r="GO206">
        <f t="shared" si="218"/>
        <v>0</v>
      </c>
      <c r="GP206">
        <f t="shared" si="219"/>
        <v>0</v>
      </c>
      <c r="GR206">
        <v>0</v>
      </c>
      <c r="GS206">
        <v>3</v>
      </c>
      <c r="GT206">
        <v>0</v>
      </c>
      <c r="GU206" t="s">
        <v>3</v>
      </c>
      <c r="GV206">
        <f t="shared" si="220"/>
        <v>0</v>
      </c>
      <c r="GW206">
        <v>1</v>
      </c>
      <c r="GX206">
        <f t="shared" si="221"/>
        <v>0</v>
      </c>
      <c r="HA206">
        <v>0</v>
      </c>
      <c r="HB206">
        <v>0</v>
      </c>
      <c r="HC206">
        <f t="shared" si="222"/>
        <v>0</v>
      </c>
      <c r="HE206" t="s">
        <v>3</v>
      </c>
      <c r="HF206" t="s">
        <v>3</v>
      </c>
      <c r="HM206" t="s">
        <v>3</v>
      </c>
      <c r="HN206" t="s">
        <v>3</v>
      </c>
      <c r="HO206" t="s">
        <v>3</v>
      </c>
      <c r="HP206" t="s">
        <v>3</v>
      </c>
      <c r="HQ206" t="s">
        <v>3</v>
      </c>
      <c r="IK206">
        <v>0</v>
      </c>
    </row>
    <row r="207" spans="1:245" x14ac:dyDescent="0.2">
      <c r="A207">
        <v>17</v>
      </c>
      <c r="B207">
        <v>1</v>
      </c>
      <c r="C207">
        <f>ROW(SmtRes!A216)</f>
        <v>216</v>
      </c>
      <c r="D207">
        <f>ROW(EtalonRes!A328)</f>
        <v>328</v>
      </c>
      <c r="E207" t="s">
        <v>436</v>
      </c>
      <c r="F207" t="s">
        <v>437</v>
      </c>
      <c r="G207" t="s">
        <v>438</v>
      </c>
      <c r="H207" t="s">
        <v>28</v>
      </c>
      <c r="I207">
        <f>ROUND(150/100,9)</f>
        <v>1.5</v>
      </c>
      <c r="J207">
        <v>0</v>
      </c>
      <c r="K207">
        <f>ROUND(150/100,9)</f>
        <v>1.5</v>
      </c>
      <c r="O207">
        <f t="shared" si="191"/>
        <v>56977.94</v>
      </c>
      <c r="P207">
        <f t="shared" si="192"/>
        <v>3883.78</v>
      </c>
      <c r="Q207">
        <f>(ROUND((ROUND((((ET207*1.25))*AV207*I207),2)*BB207),2)+ROUND((ROUND(((AE207-((EU207*1.25)))*AV207*I207),2)*BS207),2))</f>
        <v>1847.71</v>
      </c>
      <c r="R207">
        <f t="shared" si="193"/>
        <v>669.42</v>
      </c>
      <c r="S207">
        <f t="shared" si="194"/>
        <v>51246.45</v>
      </c>
      <c r="T207">
        <f t="shared" si="195"/>
        <v>0</v>
      </c>
      <c r="U207">
        <f t="shared" si="196"/>
        <v>145.03799999999998</v>
      </c>
      <c r="V207">
        <f t="shared" si="197"/>
        <v>0</v>
      </c>
      <c r="W207">
        <f t="shared" si="198"/>
        <v>0</v>
      </c>
      <c r="X207">
        <f t="shared" si="199"/>
        <v>44584.41</v>
      </c>
      <c r="Y207">
        <f t="shared" si="200"/>
        <v>21011.040000000001</v>
      </c>
      <c r="AA207">
        <v>53860087</v>
      </c>
      <c r="AB207">
        <f t="shared" si="201"/>
        <v>1936.9445000000001</v>
      </c>
      <c r="AC207">
        <f t="shared" si="223"/>
        <v>699.78</v>
      </c>
      <c r="AD207">
        <f>ROUND(((((ET207*1.25))-((EU207*1.25)))+AE207),6)</f>
        <v>102.1375</v>
      </c>
      <c r="AE207">
        <f>ROUND(((EU207*1.25)),6)</f>
        <v>14.824999999999999</v>
      </c>
      <c r="AF207">
        <f>ROUND(((EV207*1.15)),6)</f>
        <v>1135.027</v>
      </c>
      <c r="AG207">
        <f t="shared" si="202"/>
        <v>0</v>
      </c>
      <c r="AH207">
        <f>((EW207*1.15))</f>
        <v>96.691999999999993</v>
      </c>
      <c r="AI207">
        <f>((EX207*1.25))</f>
        <v>0</v>
      </c>
      <c r="AJ207">
        <f t="shared" si="203"/>
        <v>0</v>
      </c>
      <c r="AK207">
        <v>1768.47</v>
      </c>
      <c r="AL207">
        <v>699.78</v>
      </c>
      <c r="AM207">
        <v>81.709999999999994</v>
      </c>
      <c r="AN207">
        <v>11.86</v>
      </c>
      <c r="AO207">
        <v>986.98</v>
      </c>
      <c r="AP207">
        <v>0</v>
      </c>
      <c r="AQ207">
        <v>84.08</v>
      </c>
      <c r="AR207">
        <v>0</v>
      </c>
      <c r="AS207">
        <v>0</v>
      </c>
      <c r="AT207">
        <v>87</v>
      </c>
      <c r="AU207">
        <v>41</v>
      </c>
      <c r="AV207">
        <v>1</v>
      </c>
      <c r="AW207">
        <v>1</v>
      </c>
      <c r="AZ207">
        <v>1</v>
      </c>
      <c r="BA207">
        <v>30.1</v>
      </c>
      <c r="BB207">
        <v>12.06</v>
      </c>
      <c r="BC207">
        <v>3.7</v>
      </c>
      <c r="BD207" t="s">
        <v>3</v>
      </c>
      <c r="BE207" t="s">
        <v>3</v>
      </c>
      <c r="BF207" t="s">
        <v>3</v>
      </c>
      <c r="BG207" t="s">
        <v>3</v>
      </c>
      <c r="BH207">
        <v>0</v>
      </c>
      <c r="BI207">
        <v>1</v>
      </c>
      <c r="BJ207" t="s">
        <v>439</v>
      </c>
      <c r="BM207">
        <v>92</v>
      </c>
      <c r="BN207">
        <v>36862081</v>
      </c>
      <c r="BO207" t="s">
        <v>437</v>
      </c>
      <c r="BP207">
        <v>1</v>
      </c>
      <c r="BQ207">
        <v>30</v>
      </c>
      <c r="BR207">
        <v>0</v>
      </c>
      <c r="BS207">
        <v>30.1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87</v>
      </c>
      <c r="CA207">
        <v>41</v>
      </c>
      <c r="CB207" t="s">
        <v>3</v>
      </c>
      <c r="CE207">
        <v>30</v>
      </c>
      <c r="CF207">
        <v>0</v>
      </c>
      <c r="CG207">
        <v>0</v>
      </c>
      <c r="CM207">
        <v>0</v>
      </c>
      <c r="CN207" t="s">
        <v>3</v>
      </c>
      <c r="CO207">
        <v>0</v>
      </c>
      <c r="CP207">
        <f t="shared" si="204"/>
        <v>56977.939999999995</v>
      </c>
      <c r="CQ207">
        <f t="shared" si="205"/>
        <v>2589.19</v>
      </c>
      <c r="CR207">
        <f>(ROUND((ROUND((((ET207*1.25))*AV207*1),2)*BB207),2)+ROUND((ROUND(((AE207-((EU207*1.25)))*AV207*1),2)*BS207),2))</f>
        <v>1231.81</v>
      </c>
      <c r="CS207">
        <f t="shared" si="206"/>
        <v>446.38</v>
      </c>
      <c r="CT207">
        <f t="shared" si="207"/>
        <v>34164.400000000001</v>
      </c>
      <c r="CU207">
        <f t="shared" si="208"/>
        <v>0</v>
      </c>
      <c r="CV207">
        <f t="shared" si="209"/>
        <v>96.691999999999993</v>
      </c>
      <c r="CW207">
        <f t="shared" si="210"/>
        <v>0</v>
      </c>
      <c r="CX207">
        <f t="shared" si="211"/>
        <v>0</v>
      </c>
      <c r="CY207">
        <f t="shared" si="212"/>
        <v>44584.411499999995</v>
      </c>
      <c r="CZ207">
        <f t="shared" si="213"/>
        <v>21011.044499999996</v>
      </c>
      <c r="DC207" t="s">
        <v>3</v>
      </c>
      <c r="DD207" t="s">
        <v>3</v>
      </c>
      <c r="DE207" t="s">
        <v>51</v>
      </c>
      <c r="DF207" t="s">
        <v>51</v>
      </c>
      <c r="DG207" t="s">
        <v>52</v>
      </c>
      <c r="DH207" t="s">
        <v>3</v>
      </c>
      <c r="DI207" t="s">
        <v>52</v>
      </c>
      <c r="DJ207" t="s">
        <v>51</v>
      </c>
      <c r="DK207" t="s">
        <v>3</v>
      </c>
      <c r="DL207" t="s">
        <v>3</v>
      </c>
      <c r="DM207" t="s">
        <v>3</v>
      </c>
      <c r="DN207">
        <v>104</v>
      </c>
      <c r="DO207">
        <v>70</v>
      </c>
      <c r="DP207">
        <v>1</v>
      </c>
      <c r="DQ207">
        <v>1</v>
      </c>
      <c r="DU207">
        <v>1005</v>
      </c>
      <c r="DV207" t="s">
        <v>28</v>
      </c>
      <c r="DW207" t="s">
        <v>28</v>
      </c>
      <c r="DX207">
        <v>100</v>
      </c>
      <c r="DZ207" t="s">
        <v>3</v>
      </c>
      <c r="EA207" t="s">
        <v>3</v>
      </c>
      <c r="EB207" t="s">
        <v>3</v>
      </c>
      <c r="EC207" t="s">
        <v>3</v>
      </c>
      <c r="EE207">
        <v>53212841</v>
      </c>
      <c r="EF207">
        <v>30</v>
      </c>
      <c r="EG207" t="s">
        <v>37</v>
      </c>
      <c r="EH207">
        <v>0</v>
      </c>
      <c r="EI207" t="s">
        <v>3</v>
      </c>
      <c r="EJ207">
        <v>1</v>
      </c>
      <c r="EK207">
        <v>92</v>
      </c>
      <c r="EL207" t="s">
        <v>440</v>
      </c>
      <c r="EM207" t="s">
        <v>441</v>
      </c>
      <c r="EO207" t="s">
        <v>3</v>
      </c>
      <c r="EQ207">
        <v>0</v>
      </c>
      <c r="ER207">
        <v>1768.47</v>
      </c>
      <c r="ES207">
        <v>699.78</v>
      </c>
      <c r="ET207">
        <v>81.709999999999994</v>
      </c>
      <c r="EU207">
        <v>11.86</v>
      </c>
      <c r="EV207">
        <v>986.98</v>
      </c>
      <c r="EW207">
        <v>84.08</v>
      </c>
      <c r="EX207">
        <v>0</v>
      </c>
      <c r="EY207">
        <v>0</v>
      </c>
      <c r="FQ207">
        <v>0</v>
      </c>
      <c r="FR207">
        <f t="shared" si="214"/>
        <v>0</v>
      </c>
      <c r="FS207">
        <v>0</v>
      </c>
      <c r="FX207">
        <v>104</v>
      </c>
      <c r="FY207">
        <v>70</v>
      </c>
      <c r="GA207" t="s">
        <v>3</v>
      </c>
      <c r="GD207">
        <v>0</v>
      </c>
      <c r="GF207">
        <v>1590369414</v>
      </c>
      <c r="GG207">
        <v>2</v>
      </c>
      <c r="GH207">
        <v>1</v>
      </c>
      <c r="GI207">
        <v>2</v>
      </c>
      <c r="GJ207">
        <v>0</v>
      </c>
      <c r="GK207">
        <f>ROUND(R207*(R12)/100,2)</f>
        <v>1071.07</v>
      </c>
      <c r="GL207">
        <f t="shared" si="215"/>
        <v>0</v>
      </c>
      <c r="GM207">
        <f t="shared" si="216"/>
        <v>123644.46</v>
      </c>
      <c r="GN207">
        <f t="shared" si="217"/>
        <v>123644.46</v>
      </c>
      <c r="GO207">
        <f t="shared" si="218"/>
        <v>0</v>
      </c>
      <c r="GP207">
        <f t="shared" si="219"/>
        <v>0</v>
      </c>
      <c r="GR207">
        <v>0</v>
      </c>
      <c r="GS207">
        <v>3</v>
      </c>
      <c r="GT207">
        <v>0</v>
      </c>
      <c r="GU207" t="s">
        <v>3</v>
      </c>
      <c r="GV207">
        <f t="shared" si="220"/>
        <v>0</v>
      </c>
      <c r="GW207">
        <v>1</v>
      </c>
      <c r="GX207">
        <f t="shared" si="221"/>
        <v>0</v>
      </c>
      <c r="HA207">
        <v>0</v>
      </c>
      <c r="HB207">
        <v>0</v>
      </c>
      <c r="HC207">
        <f t="shared" si="222"/>
        <v>0</v>
      </c>
      <c r="HE207" t="s">
        <v>3</v>
      </c>
      <c r="HF207" t="s">
        <v>3</v>
      </c>
      <c r="HM207" t="s">
        <v>3</v>
      </c>
      <c r="HN207" t="s">
        <v>3</v>
      </c>
      <c r="HO207" t="s">
        <v>3</v>
      </c>
      <c r="HP207" t="s">
        <v>3</v>
      </c>
      <c r="HQ207" t="s">
        <v>3</v>
      </c>
      <c r="IK207">
        <v>0</v>
      </c>
    </row>
    <row r="208" spans="1:245" x14ac:dyDescent="0.2">
      <c r="A208">
        <v>18</v>
      </c>
      <c r="B208">
        <v>1</v>
      </c>
      <c r="C208">
        <v>215</v>
      </c>
      <c r="E208" t="s">
        <v>442</v>
      </c>
      <c r="F208" t="s">
        <v>273</v>
      </c>
      <c r="G208" t="s">
        <v>443</v>
      </c>
      <c r="H208" t="s">
        <v>75</v>
      </c>
      <c r="I208">
        <f>I207*J208</f>
        <v>0.06</v>
      </c>
      <c r="J208">
        <v>0.04</v>
      </c>
      <c r="K208">
        <v>0.04</v>
      </c>
      <c r="O208">
        <f t="shared" si="191"/>
        <v>5483.48</v>
      </c>
      <c r="P208">
        <f t="shared" si="192"/>
        <v>5483.48</v>
      </c>
      <c r="Q208">
        <f>(ROUND((ROUND(((ET208)*AV208*I208),2)*BB208),2)+ROUND((ROUND(((AE208-(EU208))*AV208*I208),2)*BS208),2))</f>
        <v>0</v>
      </c>
      <c r="R208">
        <f t="shared" si="193"/>
        <v>0</v>
      </c>
      <c r="S208">
        <f t="shared" si="194"/>
        <v>0</v>
      </c>
      <c r="T208">
        <f t="shared" si="195"/>
        <v>0</v>
      </c>
      <c r="U208">
        <f t="shared" si="196"/>
        <v>0</v>
      </c>
      <c r="V208">
        <f t="shared" si="197"/>
        <v>0</v>
      </c>
      <c r="W208">
        <f t="shared" si="198"/>
        <v>0</v>
      </c>
      <c r="X208">
        <f t="shared" si="199"/>
        <v>0</v>
      </c>
      <c r="Y208">
        <f t="shared" si="200"/>
        <v>0</v>
      </c>
      <c r="AA208">
        <v>53860087</v>
      </c>
      <c r="AB208">
        <f t="shared" si="201"/>
        <v>27362.67</v>
      </c>
      <c r="AC208">
        <f t="shared" si="223"/>
        <v>27362.67</v>
      </c>
      <c r="AD208">
        <f>ROUND((((ET208)-(EU208))+AE208),6)</f>
        <v>0</v>
      </c>
      <c r="AE208">
        <f t="shared" ref="AE208:AF210" si="224">ROUND((EU208),6)</f>
        <v>0</v>
      </c>
      <c r="AF208">
        <f t="shared" si="224"/>
        <v>0</v>
      </c>
      <c r="AG208">
        <f t="shared" si="202"/>
        <v>0</v>
      </c>
      <c r="AH208">
        <f t="shared" ref="AH208:AI210" si="225">(EW208)</f>
        <v>0</v>
      </c>
      <c r="AI208">
        <f t="shared" si="225"/>
        <v>0</v>
      </c>
      <c r="AJ208">
        <f t="shared" si="203"/>
        <v>0</v>
      </c>
      <c r="AK208">
        <v>27362.67</v>
      </c>
      <c r="AL208">
        <v>27362.67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1</v>
      </c>
      <c r="AW208">
        <v>1</v>
      </c>
      <c r="AZ208">
        <v>1</v>
      </c>
      <c r="BA208">
        <v>1</v>
      </c>
      <c r="BB208">
        <v>1</v>
      </c>
      <c r="BC208">
        <v>3.34</v>
      </c>
      <c r="BD208" t="s">
        <v>3</v>
      </c>
      <c r="BE208" t="s">
        <v>3</v>
      </c>
      <c r="BF208" t="s">
        <v>3</v>
      </c>
      <c r="BG208" t="s">
        <v>3</v>
      </c>
      <c r="BH208">
        <v>3</v>
      </c>
      <c r="BI208">
        <v>1</v>
      </c>
      <c r="BJ208" t="s">
        <v>275</v>
      </c>
      <c r="BM208">
        <v>92</v>
      </c>
      <c r="BN208">
        <v>36862081</v>
      </c>
      <c r="BO208" t="s">
        <v>273</v>
      </c>
      <c r="BP208">
        <v>1</v>
      </c>
      <c r="BQ208">
        <v>30</v>
      </c>
      <c r="BR208">
        <v>0</v>
      </c>
      <c r="BS208">
        <v>1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0</v>
      </c>
      <c r="CA208">
        <v>0</v>
      </c>
      <c r="CB208" t="s">
        <v>3</v>
      </c>
      <c r="CE208">
        <v>30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 t="shared" si="204"/>
        <v>5483.48</v>
      </c>
      <c r="CQ208">
        <f t="shared" si="205"/>
        <v>91391.32</v>
      </c>
      <c r="CR208">
        <f>(ROUND((ROUND(((ET208)*AV208*1),2)*BB208),2)+ROUND((ROUND(((AE208-(EU208))*AV208*1),2)*BS208),2))</f>
        <v>0</v>
      </c>
      <c r="CS208">
        <f t="shared" si="206"/>
        <v>0</v>
      </c>
      <c r="CT208">
        <f t="shared" si="207"/>
        <v>0</v>
      </c>
      <c r="CU208">
        <f t="shared" si="208"/>
        <v>0</v>
      </c>
      <c r="CV208">
        <f t="shared" si="209"/>
        <v>0</v>
      </c>
      <c r="CW208">
        <f t="shared" si="210"/>
        <v>0</v>
      </c>
      <c r="CX208">
        <f t="shared" si="211"/>
        <v>0</v>
      </c>
      <c r="CY208">
        <f t="shared" si="212"/>
        <v>0</v>
      </c>
      <c r="CZ208">
        <f t="shared" si="213"/>
        <v>0</v>
      </c>
      <c r="DC208" t="s">
        <v>3</v>
      </c>
      <c r="DD208" t="s">
        <v>3</v>
      </c>
      <c r="DE208" t="s">
        <v>3</v>
      </c>
      <c r="DF208" t="s">
        <v>3</v>
      </c>
      <c r="DG208" t="s">
        <v>3</v>
      </c>
      <c r="DH208" t="s">
        <v>3</v>
      </c>
      <c r="DI208" t="s">
        <v>3</v>
      </c>
      <c r="DJ208" t="s">
        <v>3</v>
      </c>
      <c r="DK208" t="s">
        <v>3</v>
      </c>
      <c r="DL208" t="s">
        <v>3</v>
      </c>
      <c r="DM208" t="s">
        <v>3</v>
      </c>
      <c r="DN208">
        <v>104</v>
      </c>
      <c r="DO208">
        <v>70</v>
      </c>
      <c r="DP208">
        <v>1</v>
      </c>
      <c r="DQ208">
        <v>1</v>
      </c>
      <c r="DU208">
        <v>1009</v>
      </c>
      <c r="DV208" t="s">
        <v>75</v>
      </c>
      <c r="DW208" t="s">
        <v>75</v>
      </c>
      <c r="DX208">
        <v>1000</v>
      </c>
      <c r="DZ208" t="s">
        <v>3</v>
      </c>
      <c r="EA208" t="s">
        <v>3</v>
      </c>
      <c r="EB208" t="s">
        <v>3</v>
      </c>
      <c r="EC208" t="s">
        <v>3</v>
      </c>
      <c r="EE208">
        <v>53212841</v>
      </c>
      <c r="EF208">
        <v>30</v>
      </c>
      <c r="EG208" t="s">
        <v>37</v>
      </c>
      <c r="EH208">
        <v>0</v>
      </c>
      <c r="EI208" t="s">
        <v>3</v>
      </c>
      <c r="EJ208">
        <v>1</v>
      </c>
      <c r="EK208">
        <v>92</v>
      </c>
      <c r="EL208" t="s">
        <v>440</v>
      </c>
      <c r="EM208" t="s">
        <v>441</v>
      </c>
      <c r="EO208" t="s">
        <v>3</v>
      </c>
      <c r="EQ208">
        <v>0</v>
      </c>
      <c r="ER208">
        <v>27362.67</v>
      </c>
      <c r="ES208">
        <v>27362.67</v>
      </c>
      <c r="ET208">
        <v>0</v>
      </c>
      <c r="EU208">
        <v>0</v>
      </c>
      <c r="EV208">
        <v>0</v>
      </c>
      <c r="EW208">
        <v>0</v>
      </c>
      <c r="EX208">
        <v>0</v>
      </c>
      <c r="FQ208">
        <v>0</v>
      </c>
      <c r="FR208">
        <f t="shared" si="214"/>
        <v>0</v>
      </c>
      <c r="FS208">
        <v>0</v>
      </c>
      <c r="FX208">
        <v>104</v>
      </c>
      <c r="FY208">
        <v>70</v>
      </c>
      <c r="GA208" t="s">
        <v>3</v>
      </c>
      <c r="GD208">
        <v>0</v>
      </c>
      <c r="GF208">
        <v>-2111103549</v>
      </c>
      <c r="GG208">
        <v>2</v>
      </c>
      <c r="GH208">
        <v>1</v>
      </c>
      <c r="GI208">
        <v>2</v>
      </c>
      <c r="GJ208">
        <v>0</v>
      </c>
      <c r="GK208">
        <f>ROUND(R208*(R12)/100,2)</f>
        <v>0</v>
      </c>
      <c r="GL208">
        <f t="shared" si="215"/>
        <v>0</v>
      </c>
      <c r="GM208">
        <f t="shared" si="216"/>
        <v>5483.48</v>
      </c>
      <c r="GN208">
        <f t="shared" si="217"/>
        <v>5483.48</v>
      </c>
      <c r="GO208">
        <f t="shared" si="218"/>
        <v>0</v>
      </c>
      <c r="GP208">
        <f t="shared" si="219"/>
        <v>0</v>
      </c>
      <c r="GR208">
        <v>0</v>
      </c>
      <c r="GS208">
        <v>3</v>
      </c>
      <c r="GT208">
        <v>0</v>
      </c>
      <c r="GU208" t="s">
        <v>3</v>
      </c>
      <c r="GV208">
        <f t="shared" si="220"/>
        <v>0</v>
      </c>
      <c r="GW208">
        <v>1</v>
      </c>
      <c r="GX208">
        <f t="shared" si="221"/>
        <v>0</v>
      </c>
      <c r="HA208">
        <v>0</v>
      </c>
      <c r="HB208">
        <v>0</v>
      </c>
      <c r="HC208">
        <f t="shared" si="222"/>
        <v>0</v>
      </c>
      <c r="HE208" t="s">
        <v>3</v>
      </c>
      <c r="HF208" t="s">
        <v>3</v>
      </c>
      <c r="HM208" t="s">
        <v>3</v>
      </c>
      <c r="HN208" t="s">
        <v>3</v>
      </c>
      <c r="HO208" t="s">
        <v>3</v>
      </c>
      <c r="HP208" t="s">
        <v>3</v>
      </c>
      <c r="HQ208" t="s">
        <v>3</v>
      </c>
      <c r="IK208">
        <v>0</v>
      </c>
    </row>
    <row r="209" spans="1:245" x14ac:dyDescent="0.2">
      <c r="A209">
        <v>18</v>
      </c>
      <c r="B209">
        <v>1</v>
      </c>
      <c r="C209">
        <v>216</v>
      </c>
      <c r="E209" t="s">
        <v>444</v>
      </c>
      <c r="F209" t="s">
        <v>277</v>
      </c>
      <c r="G209" t="s">
        <v>445</v>
      </c>
      <c r="H209" t="s">
        <v>75</v>
      </c>
      <c r="I209">
        <f>I207*J209</f>
        <v>0.70499999999999996</v>
      </c>
      <c r="J209">
        <v>0.47</v>
      </c>
      <c r="K209">
        <v>0.47</v>
      </c>
      <c r="O209">
        <f t="shared" si="191"/>
        <v>8820</v>
      </c>
      <c r="P209">
        <f t="shared" si="192"/>
        <v>8820</v>
      </c>
      <c r="Q209">
        <f>(ROUND((ROUND(((ET209)*AV209*I209),2)*BB209),2)+ROUND((ROUND(((AE209-(EU209))*AV209*I209),2)*BS209),2))</f>
        <v>0</v>
      </c>
      <c r="R209">
        <f t="shared" si="193"/>
        <v>0</v>
      </c>
      <c r="S209">
        <f t="shared" si="194"/>
        <v>0</v>
      </c>
      <c r="T209">
        <f t="shared" si="195"/>
        <v>0</v>
      </c>
      <c r="U209">
        <f t="shared" si="196"/>
        <v>0</v>
      </c>
      <c r="V209">
        <f t="shared" si="197"/>
        <v>0</v>
      </c>
      <c r="W209">
        <f t="shared" si="198"/>
        <v>0</v>
      </c>
      <c r="X209">
        <f t="shared" si="199"/>
        <v>0</v>
      </c>
      <c r="Y209">
        <f t="shared" si="200"/>
        <v>0</v>
      </c>
      <c r="AA209">
        <v>53860087</v>
      </c>
      <c r="AB209">
        <f t="shared" si="201"/>
        <v>3971.63</v>
      </c>
      <c r="AC209">
        <f t="shared" si="223"/>
        <v>3971.63</v>
      </c>
      <c r="AD209">
        <f>ROUND((((ET209)-(EU209))+AE209),6)</f>
        <v>0</v>
      </c>
      <c r="AE209">
        <f t="shared" si="224"/>
        <v>0</v>
      </c>
      <c r="AF209">
        <f t="shared" si="224"/>
        <v>0</v>
      </c>
      <c r="AG209">
        <f t="shared" si="202"/>
        <v>0</v>
      </c>
      <c r="AH209">
        <f t="shared" si="225"/>
        <v>0</v>
      </c>
      <c r="AI209">
        <f t="shared" si="225"/>
        <v>0</v>
      </c>
      <c r="AJ209">
        <f t="shared" si="203"/>
        <v>0</v>
      </c>
      <c r="AK209">
        <v>3971.63</v>
      </c>
      <c r="AL209">
        <v>3971.63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1</v>
      </c>
      <c r="AW209">
        <v>1</v>
      </c>
      <c r="AZ209">
        <v>1</v>
      </c>
      <c r="BA209">
        <v>1</v>
      </c>
      <c r="BB209">
        <v>1</v>
      </c>
      <c r="BC209">
        <v>3.15</v>
      </c>
      <c r="BD209" t="s">
        <v>3</v>
      </c>
      <c r="BE209" t="s">
        <v>3</v>
      </c>
      <c r="BF209" t="s">
        <v>3</v>
      </c>
      <c r="BG209" t="s">
        <v>3</v>
      </c>
      <c r="BH209">
        <v>3</v>
      </c>
      <c r="BI209">
        <v>1</v>
      </c>
      <c r="BJ209" t="s">
        <v>279</v>
      </c>
      <c r="BM209">
        <v>92</v>
      </c>
      <c r="BN209">
        <v>36862081</v>
      </c>
      <c r="BO209" t="s">
        <v>277</v>
      </c>
      <c r="BP209">
        <v>1</v>
      </c>
      <c r="BQ209">
        <v>30</v>
      </c>
      <c r="BR209">
        <v>0</v>
      </c>
      <c r="BS209">
        <v>1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3</v>
      </c>
      <c r="BZ209">
        <v>0</v>
      </c>
      <c r="CA209">
        <v>0</v>
      </c>
      <c r="CB209" t="s">
        <v>3</v>
      </c>
      <c r="CE209">
        <v>30</v>
      </c>
      <c r="CF209">
        <v>0</v>
      </c>
      <c r="CG209">
        <v>0</v>
      </c>
      <c r="CM209">
        <v>0</v>
      </c>
      <c r="CN209" t="s">
        <v>3</v>
      </c>
      <c r="CO209">
        <v>0</v>
      </c>
      <c r="CP209">
        <f t="shared" si="204"/>
        <v>8820</v>
      </c>
      <c r="CQ209">
        <f t="shared" si="205"/>
        <v>12510.63</v>
      </c>
      <c r="CR209">
        <f>(ROUND((ROUND(((ET209)*AV209*1),2)*BB209),2)+ROUND((ROUND(((AE209-(EU209))*AV209*1),2)*BS209),2))</f>
        <v>0</v>
      </c>
      <c r="CS209">
        <f t="shared" si="206"/>
        <v>0</v>
      </c>
      <c r="CT209">
        <f t="shared" si="207"/>
        <v>0</v>
      </c>
      <c r="CU209">
        <f t="shared" si="208"/>
        <v>0</v>
      </c>
      <c r="CV209">
        <f t="shared" si="209"/>
        <v>0</v>
      </c>
      <c r="CW209">
        <f t="shared" si="210"/>
        <v>0</v>
      </c>
      <c r="CX209">
        <f t="shared" si="211"/>
        <v>0</v>
      </c>
      <c r="CY209">
        <f t="shared" si="212"/>
        <v>0</v>
      </c>
      <c r="CZ209">
        <f t="shared" si="213"/>
        <v>0</v>
      </c>
      <c r="DC209" t="s">
        <v>3</v>
      </c>
      <c r="DD209" t="s">
        <v>3</v>
      </c>
      <c r="DE209" t="s">
        <v>3</v>
      </c>
      <c r="DF209" t="s">
        <v>3</v>
      </c>
      <c r="DG209" t="s">
        <v>3</v>
      </c>
      <c r="DH209" t="s">
        <v>3</v>
      </c>
      <c r="DI209" t="s">
        <v>3</v>
      </c>
      <c r="DJ209" t="s">
        <v>3</v>
      </c>
      <c r="DK209" t="s">
        <v>3</v>
      </c>
      <c r="DL209" t="s">
        <v>3</v>
      </c>
      <c r="DM209" t="s">
        <v>3</v>
      </c>
      <c r="DN209">
        <v>104</v>
      </c>
      <c r="DO209">
        <v>70</v>
      </c>
      <c r="DP209">
        <v>1</v>
      </c>
      <c r="DQ209">
        <v>1</v>
      </c>
      <c r="DU209">
        <v>1009</v>
      </c>
      <c r="DV209" t="s">
        <v>75</v>
      </c>
      <c r="DW209" t="s">
        <v>75</v>
      </c>
      <c r="DX209">
        <v>1000</v>
      </c>
      <c r="DZ209" t="s">
        <v>3</v>
      </c>
      <c r="EA209" t="s">
        <v>3</v>
      </c>
      <c r="EB209" t="s">
        <v>3</v>
      </c>
      <c r="EC209" t="s">
        <v>3</v>
      </c>
      <c r="EE209">
        <v>53212841</v>
      </c>
      <c r="EF209">
        <v>30</v>
      </c>
      <c r="EG209" t="s">
        <v>37</v>
      </c>
      <c r="EH209">
        <v>0</v>
      </c>
      <c r="EI209" t="s">
        <v>3</v>
      </c>
      <c r="EJ209">
        <v>1</v>
      </c>
      <c r="EK209">
        <v>92</v>
      </c>
      <c r="EL209" t="s">
        <v>440</v>
      </c>
      <c r="EM209" t="s">
        <v>441</v>
      </c>
      <c r="EO209" t="s">
        <v>3</v>
      </c>
      <c r="EQ209">
        <v>0</v>
      </c>
      <c r="ER209">
        <v>3971.63</v>
      </c>
      <c r="ES209">
        <v>3971.63</v>
      </c>
      <c r="ET209">
        <v>0</v>
      </c>
      <c r="EU209">
        <v>0</v>
      </c>
      <c r="EV209">
        <v>0</v>
      </c>
      <c r="EW209">
        <v>0</v>
      </c>
      <c r="EX209">
        <v>0</v>
      </c>
      <c r="FQ209">
        <v>0</v>
      </c>
      <c r="FR209">
        <f t="shared" si="214"/>
        <v>0</v>
      </c>
      <c r="FS209">
        <v>0</v>
      </c>
      <c r="FX209">
        <v>104</v>
      </c>
      <c r="FY209">
        <v>70</v>
      </c>
      <c r="GA209" t="s">
        <v>3</v>
      </c>
      <c r="GD209">
        <v>0</v>
      </c>
      <c r="GF209">
        <v>188264796</v>
      </c>
      <c r="GG209">
        <v>2</v>
      </c>
      <c r="GH209">
        <v>1</v>
      </c>
      <c r="GI209">
        <v>2</v>
      </c>
      <c r="GJ209">
        <v>0</v>
      </c>
      <c r="GK209">
        <f>ROUND(R209*(R12)/100,2)</f>
        <v>0</v>
      </c>
      <c r="GL209">
        <f t="shared" si="215"/>
        <v>0</v>
      </c>
      <c r="GM209">
        <f t="shared" si="216"/>
        <v>8820</v>
      </c>
      <c r="GN209">
        <f t="shared" si="217"/>
        <v>8820</v>
      </c>
      <c r="GO209">
        <f t="shared" si="218"/>
        <v>0</v>
      </c>
      <c r="GP209">
        <f t="shared" si="219"/>
        <v>0</v>
      </c>
      <c r="GR209">
        <v>0</v>
      </c>
      <c r="GS209">
        <v>3</v>
      </c>
      <c r="GT209">
        <v>0</v>
      </c>
      <c r="GU209" t="s">
        <v>3</v>
      </c>
      <c r="GV209">
        <f t="shared" si="220"/>
        <v>0</v>
      </c>
      <c r="GW209">
        <v>1</v>
      </c>
      <c r="GX209">
        <f t="shared" si="221"/>
        <v>0</v>
      </c>
      <c r="HA209">
        <v>0</v>
      </c>
      <c r="HB209">
        <v>0</v>
      </c>
      <c r="HC209">
        <f t="shared" si="222"/>
        <v>0</v>
      </c>
      <c r="HE209" t="s">
        <v>3</v>
      </c>
      <c r="HF209" t="s">
        <v>3</v>
      </c>
      <c r="HM209" t="s">
        <v>3</v>
      </c>
      <c r="HN209" t="s">
        <v>3</v>
      </c>
      <c r="HO209" t="s">
        <v>3</v>
      </c>
      <c r="HP209" t="s">
        <v>3</v>
      </c>
      <c r="HQ209" t="s">
        <v>3</v>
      </c>
      <c r="IK209">
        <v>0</v>
      </c>
    </row>
    <row r="210" spans="1:245" x14ac:dyDescent="0.2">
      <c r="A210">
        <v>18</v>
      </c>
      <c r="B210">
        <v>1</v>
      </c>
      <c r="C210">
        <v>214</v>
      </c>
      <c r="E210" t="s">
        <v>446</v>
      </c>
      <c r="F210" t="s">
        <v>447</v>
      </c>
      <c r="G210" t="s">
        <v>448</v>
      </c>
      <c r="H210" t="s">
        <v>100</v>
      </c>
      <c r="I210">
        <f>I207*J210</f>
        <v>153</v>
      </c>
      <c r="J210">
        <v>102</v>
      </c>
      <c r="K210">
        <v>102</v>
      </c>
      <c r="O210">
        <f t="shared" si="191"/>
        <v>131974.13</v>
      </c>
      <c r="P210">
        <f t="shared" si="192"/>
        <v>131974.13</v>
      </c>
      <c r="Q210">
        <f>(ROUND((ROUND(((ET210)*AV210*I210),2)*BB210),2)+ROUND((ROUND(((AE210-(EU210))*AV210*I210),2)*BS210),2))</f>
        <v>0</v>
      </c>
      <c r="R210">
        <f t="shared" si="193"/>
        <v>0</v>
      </c>
      <c r="S210">
        <f t="shared" si="194"/>
        <v>0</v>
      </c>
      <c r="T210">
        <f t="shared" si="195"/>
        <v>0</v>
      </c>
      <c r="U210">
        <f t="shared" si="196"/>
        <v>0</v>
      </c>
      <c r="V210">
        <f t="shared" si="197"/>
        <v>0</v>
      </c>
      <c r="W210">
        <f t="shared" si="198"/>
        <v>0</v>
      </c>
      <c r="X210">
        <f t="shared" si="199"/>
        <v>0</v>
      </c>
      <c r="Y210">
        <f t="shared" si="200"/>
        <v>0</v>
      </c>
      <c r="AA210">
        <v>53860087</v>
      </c>
      <c r="AB210">
        <f t="shared" si="201"/>
        <v>127.6</v>
      </c>
      <c r="AC210">
        <f t="shared" si="223"/>
        <v>127.6</v>
      </c>
      <c r="AD210">
        <f>ROUND((((ET210)-(EU210))+AE210),6)</f>
        <v>0</v>
      </c>
      <c r="AE210">
        <f t="shared" si="224"/>
        <v>0</v>
      </c>
      <c r="AF210">
        <f t="shared" si="224"/>
        <v>0</v>
      </c>
      <c r="AG210">
        <f t="shared" si="202"/>
        <v>0</v>
      </c>
      <c r="AH210">
        <f t="shared" si="225"/>
        <v>0</v>
      </c>
      <c r="AI210">
        <f t="shared" si="225"/>
        <v>0</v>
      </c>
      <c r="AJ210">
        <f t="shared" si="203"/>
        <v>0</v>
      </c>
      <c r="AK210">
        <v>127.6</v>
      </c>
      <c r="AL210">
        <v>127.6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1</v>
      </c>
      <c r="AW210">
        <v>1</v>
      </c>
      <c r="AZ210">
        <v>1</v>
      </c>
      <c r="BA210">
        <v>1</v>
      </c>
      <c r="BB210">
        <v>1</v>
      </c>
      <c r="BC210">
        <v>6.76</v>
      </c>
      <c r="BD210" t="s">
        <v>3</v>
      </c>
      <c r="BE210" t="s">
        <v>3</v>
      </c>
      <c r="BF210" t="s">
        <v>3</v>
      </c>
      <c r="BG210" t="s">
        <v>3</v>
      </c>
      <c r="BH210">
        <v>3</v>
      </c>
      <c r="BI210">
        <v>1</v>
      </c>
      <c r="BJ210" t="s">
        <v>449</v>
      </c>
      <c r="BM210">
        <v>92</v>
      </c>
      <c r="BN210">
        <v>36862081</v>
      </c>
      <c r="BO210" t="s">
        <v>447</v>
      </c>
      <c r="BP210">
        <v>1</v>
      </c>
      <c r="BQ210">
        <v>30</v>
      </c>
      <c r="BR210">
        <v>0</v>
      </c>
      <c r="BS210">
        <v>1</v>
      </c>
      <c r="BT210">
        <v>1</v>
      </c>
      <c r="BU210">
        <v>1</v>
      </c>
      <c r="BV210">
        <v>1</v>
      </c>
      <c r="BW210">
        <v>1</v>
      </c>
      <c r="BX210">
        <v>1</v>
      </c>
      <c r="BY210" t="s">
        <v>3</v>
      </c>
      <c r="BZ210">
        <v>0</v>
      </c>
      <c r="CA210">
        <v>0</v>
      </c>
      <c r="CB210" t="s">
        <v>3</v>
      </c>
      <c r="CE210">
        <v>30</v>
      </c>
      <c r="CF210">
        <v>0</v>
      </c>
      <c r="CG210">
        <v>0</v>
      </c>
      <c r="CM210">
        <v>0</v>
      </c>
      <c r="CN210" t="s">
        <v>3</v>
      </c>
      <c r="CO210">
        <v>0</v>
      </c>
      <c r="CP210">
        <f t="shared" si="204"/>
        <v>131974.13</v>
      </c>
      <c r="CQ210">
        <f t="shared" si="205"/>
        <v>862.58</v>
      </c>
      <c r="CR210">
        <f>(ROUND((ROUND(((ET210)*AV210*1),2)*BB210),2)+ROUND((ROUND(((AE210-(EU210))*AV210*1),2)*BS210),2))</f>
        <v>0</v>
      </c>
      <c r="CS210">
        <f t="shared" si="206"/>
        <v>0</v>
      </c>
      <c r="CT210">
        <f t="shared" si="207"/>
        <v>0</v>
      </c>
      <c r="CU210">
        <f t="shared" si="208"/>
        <v>0</v>
      </c>
      <c r="CV210">
        <f t="shared" si="209"/>
        <v>0</v>
      </c>
      <c r="CW210">
        <f t="shared" si="210"/>
        <v>0</v>
      </c>
      <c r="CX210">
        <f t="shared" si="211"/>
        <v>0</v>
      </c>
      <c r="CY210">
        <f t="shared" si="212"/>
        <v>0</v>
      </c>
      <c r="CZ210">
        <f t="shared" si="213"/>
        <v>0</v>
      </c>
      <c r="DC210" t="s">
        <v>3</v>
      </c>
      <c r="DD210" t="s">
        <v>3</v>
      </c>
      <c r="DE210" t="s">
        <v>3</v>
      </c>
      <c r="DF210" t="s">
        <v>3</v>
      </c>
      <c r="DG210" t="s">
        <v>3</v>
      </c>
      <c r="DH210" t="s">
        <v>3</v>
      </c>
      <c r="DI210" t="s">
        <v>3</v>
      </c>
      <c r="DJ210" t="s">
        <v>3</v>
      </c>
      <c r="DK210" t="s">
        <v>3</v>
      </c>
      <c r="DL210" t="s">
        <v>3</v>
      </c>
      <c r="DM210" t="s">
        <v>3</v>
      </c>
      <c r="DN210">
        <v>104</v>
      </c>
      <c r="DO210">
        <v>70</v>
      </c>
      <c r="DP210">
        <v>1</v>
      </c>
      <c r="DQ210">
        <v>1</v>
      </c>
      <c r="DU210">
        <v>1005</v>
      </c>
      <c r="DV210" t="s">
        <v>100</v>
      </c>
      <c r="DW210" t="s">
        <v>100</v>
      </c>
      <c r="DX210">
        <v>1</v>
      </c>
      <c r="DZ210" t="s">
        <v>3</v>
      </c>
      <c r="EA210" t="s">
        <v>3</v>
      </c>
      <c r="EB210" t="s">
        <v>3</v>
      </c>
      <c r="EC210" t="s">
        <v>3</v>
      </c>
      <c r="EE210">
        <v>53212841</v>
      </c>
      <c r="EF210">
        <v>30</v>
      </c>
      <c r="EG210" t="s">
        <v>37</v>
      </c>
      <c r="EH210">
        <v>0</v>
      </c>
      <c r="EI210" t="s">
        <v>3</v>
      </c>
      <c r="EJ210">
        <v>1</v>
      </c>
      <c r="EK210">
        <v>92</v>
      </c>
      <c r="EL210" t="s">
        <v>440</v>
      </c>
      <c r="EM210" t="s">
        <v>441</v>
      </c>
      <c r="EO210" t="s">
        <v>3</v>
      </c>
      <c r="EQ210">
        <v>0</v>
      </c>
      <c r="ER210">
        <v>127.6</v>
      </c>
      <c r="ES210">
        <v>127.6</v>
      </c>
      <c r="ET210">
        <v>0</v>
      </c>
      <c r="EU210">
        <v>0</v>
      </c>
      <c r="EV210">
        <v>0</v>
      </c>
      <c r="EW210">
        <v>0</v>
      </c>
      <c r="EX210">
        <v>0</v>
      </c>
      <c r="FQ210">
        <v>0</v>
      </c>
      <c r="FR210">
        <f t="shared" si="214"/>
        <v>0</v>
      </c>
      <c r="FS210">
        <v>0</v>
      </c>
      <c r="FX210">
        <v>104</v>
      </c>
      <c r="FY210">
        <v>70</v>
      </c>
      <c r="GA210" t="s">
        <v>3</v>
      </c>
      <c r="GD210">
        <v>0</v>
      </c>
      <c r="GF210">
        <v>38374271</v>
      </c>
      <c r="GG210">
        <v>2</v>
      </c>
      <c r="GH210">
        <v>1</v>
      </c>
      <c r="GI210">
        <v>2</v>
      </c>
      <c r="GJ210">
        <v>0</v>
      </c>
      <c r="GK210">
        <f>ROUND(R210*(R12)/100,2)</f>
        <v>0</v>
      </c>
      <c r="GL210">
        <f t="shared" si="215"/>
        <v>0</v>
      </c>
      <c r="GM210">
        <f t="shared" si="216"/>
        <v>131974.13</v>
      </c>
      <c r="GN210">
        <f t="shared" si="217"/>
        <v>131974.13</v>
      </c>
      <c r="GO210">
        <f t="shared" si="218"/>
        <v>0</v>
      </c>
      <c r="GP210">
        <f t="shared" si="219"/>
        <v>0</v>
      </c>
      <c r="GR210">
        <v>0</v>
      </c>
      <c r="GS210">
        <v>3</v>
      </c>
      <c r="GT210">
        <v>0</v>
      </c>
      <c r="GU210" t="s">
        <v>3</v>
      </c>
      <c r="GV210">
        <f t="shared" si="220"/>
        <v>0</v>
      </c>
      <c r="GW210">
        <v>1</v>
      </c>
      <c r="GX210">
        <f t="shared" si="221"/>
        <v>0</v>
      </c>
      <c r="HA210">
        <v>0</v>
      </c>
      <c r="HB210">
        <v>0</v>
      </c>
      <c r="HC210">
        <f t="shared" si="222"/>
        <v>0</v>
      </c>
      <c r="HE210" t="s">
        <v>3</v>
      </c>
      <c r="HF210" t="s">
        <v>3</v>
      </c>
      <c r="HM210" t="s">
        <v>3</v>
      </c>
      <c r="HN210" t="s">
        <v>3</v>
      </c>
      <c r="HO210" t="s">
        <v>3</v>
      </c>
      <c r="HP210" t="s">
        <v>3</v>
      </c>
      <c r="HQ210" t="s">
        <v>3</v>
      </c>
      <c r="IK210">
        <v>0</v>
      </c>
    </row>
    <row r="211" spans="1:245" x14ac:dyDescent="0.2">
      <c r="A211">
        <v>17</v>
      </c>
      <c r="B211">
        <v>1</v>
      </c>
      <c r="C211">
        <f>ROW(SmtRes!A225)</f>
        <v>225</v>
      </c>
      <c r="D211">
        <f>ROW(EtalonRes!A337)</f>
        <v>337</v>
      </c>
      <c r="E211" t="s">
        <v>450</v>
      </c>
      <c r="F211" t="s">
        <v>451</v>
      </c>
      <c r="G211" t="s">
        <v>452</v>
      </c>
      <c r="H211" t="s">
        <v>28</v>
      </c>
      <c r="I211">
        <f>ROUND(5/100,9)</f>
        <v>0.05</v>
      </c>
      <c r="J211">
        <v>0</v>
      </c>
      <c r="K211">
        <f>ROUND(5/100,9)</f>
        <v>0.05</v>
      </c>
      <c r="O211">
        <f t="shared" si="191"/>
        <v>6252.35</v>
      </c>
      <c r="P211">
        <f t="shared" si="192"/>
        <v>1.02</v>
      </c>
      <c r="Q211">
        <f>(ROUND((ROUND((((ET211*1.25))*AV211*I211),2)*BB211),2)+ROUND((ROUND(((AE211-((EU211*1.25)))*AV211*I211),2)*BS211),2))</f>
        <v>175.95</v>
      </c>
      <c r="R211">
        <f t="shared" si="193"/>
        <v>87.29</v>
      </c>
      <c r="S211">
        <f t="shared" si="194"/>
        <v>6075.38</v>
      </c>
      <c r="T211">
        <f t="shared" si="195"/>
        <v>0</v>
      </c>
      <c r="U211">
        <f t="shared" si="196"/>
        <v>13.88165</v>
      </c>
      <c r="V211">
        <f t="shared" si="197"/>
        <v>0</v>
      </c>
      <c r="W211">
        <f t="shared" si="198"/>
        <v>0</v>
      </c>
      <c r="X211">
        <f t="shared" si="199"/>
        <v>5285.58</v>
      </c>
      <c r="Y211">
        <f t="shared" si="200"/>
        <v>2490.91</v>
      </c>
      <c r="AA211">
        <v>53860087</v>
      </c>
      <c r="AB211">
        <f t="shared" si="201"/>
        <v>4284.3874999999998</v>
      </c>
      <c r="AC211">
        <f t="shared" si="223"/>
        <v>3.45</v>
      </c>
      <c r="AD211">
        <f>ROUND(((((ET211*1.25))-((EU211*1.25)))+AE211),6)</f>
        <v>244.15</v>
      </c>
      <c r="AE211">
        <f>ROUND(((EU211*1.25)),6)</f>
        <v>58.05</v>
      </c>
      <c r="AF211">
        <f>ROUND(((EV211*1.15)),6)</f>
        <v>4036.7874999999999</v>
      </c>
      <c r="AG211">
        <f t="shared" si="202"/>
        <v>0</v>
      </c>
      <c r="AH211">
        <f>((EW211*1.15))</f>
        <v>277.63299999999998</v>
      </c>
      <c r="AI211">
        <f>((EX211*1.25))</f>
        <v>0</v>
      </c>
      <c r="AJ211">
        <f t="shared" si="203"/>
        <v>0</v>
      </c>
      <c r="AK211">
        <v>3709.02</v>
      </c>
      <c r="AL211">
        <v>3.45</v>
      </c>
      <c r="AM211">
        <v>195.32</v>
      </c>
      <c r="AN211">
        <v>46.44</v>
      </c>
      <c r="AO211">
        <v>3510.25</v>
      </c>
      <c r="AP211">
        <v>0</v>
      </c>
      <c r="AQ211">
        <v>241.42</v>
      </c>
      <c r="AR211">
        <v>0</v>
      </c>
      <c r="AS211">
        <v>0</v>
      </c>
      <c r="AT211">
        <v>87</v>
      </c>
      <c r="AU211">
        <v>41</v>
      </c>
      <c r="AV211">
        <v>1</v>
      </c>
      <c r="AW211">
        <v>1</v>
      </c>
      <c r="AZ211">
        <v>1</v>
      </c>
      <c r="BA211">
        <v>30.1</v>
      </c>
      <c r="BB211">
        <v>14.41</v>
      </c>
      <c r="BC211">
        <v>6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1</v>
      </c>
      <c r="BJ211" t="s">
        <v>453</v>
      </c>
      <c r="BM211">
        <v>2281</v>
      </c>
      <c r="BN211">
        <v>0</v>
      </c>
      <c r="BO211" t="s">
        <v>451</v>
      </c>
      <c r="BP211">
        <v>1</v>
      </c>
      <c r="BQ211">
        <v>30</v>
      </c>
      <c r="BR211">
        <v>0</v>
      </c>
      <c r="BS211">
        <v>30.1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87</v>
      </c>
      <c r="CA211">
        <v>41</v>
      </c>
      <c r="CB211" t="s">
        <v>3</v>
      </c>
      <c r="CE211">
        <v>30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si="204"/>
        <v>6252.35</v>
      </c>
      <c r="CQ211">
        <f t="shared" si="205"/>
        <v>20.7</v>
      </c>
      <c r="CR211">
        <f>(ROUND((ROUND((((ET211*1.25))*AV211*1),2)*BB211),2)+ROUND((ROUND(((AE211-((EU211*1.25)))*AV211*1),2)*BS211),2))</f>
        <v>3518.2</v>
      </c>
      <c r="CS211">
        <f t="shared" si="206"/>
        <v>1747.31</v>
      </c>
      <c r="CT211">
        <f t="shared" si="207"/>
        <v>121507.38</v>
      </c>
      <c r="CU211">
        <f t="shared" si="208"/>
        <v>0</v>
      </c>
      <c r="CV211">
        <f t="shared" si="209"/>
        <v>277.63299999999998</v>
      </c>
      <c r="CW211">
        <f t="shared" si="210"/>
        <v>0</v>
      </c>
      <c r="CX211">
        <f t="shared" si="211"/>
        <v>0</v>
      </c>
      <c r="CY211">
        <f t="shared" si="212"/>
        <v>5285.5806000000002</v>
      </c>
      <c r="CZ211">
        <f t="shared" si="213"/>
        <v>2490.9058</v>
      </c>
      <c r="DC211" t="s">
        <v>3</v>
      </c>
      <c r="DD211" t="s">
        <v>3</v>
      </c>
      <c r="DE211" t="s">
        <v>51</v>
      </c>
      <c r="DF211" t="s">
        <v>51</v>
      </c>
      <c r="DG211" t="s">
        <v>52</v>
      </c>
      <c r="DH211" t="s">
        <v>3</v>
      </c>
      <c r="DI211" t="s">
        <v>52</v>
      </c>
      <c r="DJ211" t="s">
        <v>51</v>
      </c>
      <c r="DK211" t="s">
        <v>3</v>
      </c>
      <c r="DL211" t="s">
        <v>3</v>
      </c>
      <c r="DM211" t="s">
        <v>3</v>
      </c>
      <c r="DN211">
        <v>104</v>
      </c>
      <c r="DO211">
        <v>70</v>
      </c>
      <c r="DP211">
        <v>1</v>
      </c>
      <c r="DQ211">
        <v>1</v>
      </c>
      <c r="DU211">
        <v>1005</v>
      </c>
      <c r="DV211" t="s">
        <v>28</v>
      </c>
      <c r="DW211" t="s">
        <v>28</v>
      </c>
      <c r="DX211">
        <v>100</v>
      </c>
      <c r="DZ211" t="s">
        <v>3</v>
      </c>
      <c r="EA211" t="s">
        <v>3</v>
      </c>
      <c r="EB211" t="s">
        <v>3</v>
      </c>
      <c r="EC211" t="s">
        <v>3</v>
      </c>
      <c r="EE211">
        <v>53215100</v>
      </c>
      <c r="EF211">
        <v>30</v>
      </c>
      <c r="EG211" t="s">
        <v>37</v>
      </c>
      <c r="EH211">
        <v>0</v>
      </c>
      <c r="EI211" t="s">
        <v>3</v>
      </c>
      <c r="EJ211">
        <v>1</v>
      </c>
      <c r="EK211">
        <v>2281</v>
      </c>
      <c r="EL211" t="s">
        <v>454</v>
      </c>
      <c r="EM211" t="s">
        <v>455</v>
      </c>
      <c r="EO211" t="s">
        <v>3</v>
      </c>
      <c r="EQ211">
        <v>0</v>
      </c>
      <c r="ER211">
        <v>3709.02</v>
      </c>
      <c r="ES211">
        <v>3.45</v>
      </c>
      <c r="ET211">
        <v>195.32</v>
      </c>
      <c r="EU211">
        <v>46.44</v>
      </c>
      <c r="EV211">
        <v>3510.25</v>
      </c>
      <c r="EW211">
        <v>241.42</v>
      </c>
      <c r="EX211">
        <v>0</v>
      </c>
      <c r="EY211">
        <v>0</v>
      </c>
      <c r="FQ211">
        <v>0</v>
      </c>
      <c r="FR211">
        <f t="shared" si="214"/>
        <v>0</v>
      </c>
      <c r="FS211">
        <v>0</v>
      </c>
      <c r="FX211">
        <v>104</v>
      </c>
      <c r="FY211">
        <v>70</v>
      </c>
      <c r="GA211" t="s">
        <v>3</v>
      </c>
      <c r="GD211">
        <v>0</v>
      </c>
      <c r="GF211">
        <v>106946447</v>
      </c>
      <c r="GG211">
        <v>2</v>
      </c>
      <c r="GH211">
        <v>1</v>
      </c>
      <c r="GI211">
        <v>2</v>
      </c>
      <c r="GJ211">
        <v>0</v>
      </c>
      <c r="GK211">
        <f>ROUND(R211*(R12)/100,2)</f>
        <v>139.66</v>
      </c>
      <c r="GL211">
        <f t="shared" si="215"/>
        <v>0</v>
      </c>
      <c r="GM211">
        <f t="shared" si="216"/>
        <v>14168.5</v>
      </c>
      <c r="GN211">
        <f t="shared" si="217"/>
        <v>14168.5</v>
      </c>
      <c r="GO211">
        <f t="shared" si="218"/>
        <v>0</v>
      </c>
      <c r="GP211">
        <f t="shared" si="219"/>
        <v>0</v>
      </c>
      <c r="GR211">
        <v>0</v>
      </c>
      <c r="GS211">
        <v>3</v>
      </c>
      <c r="GT211">
        <v>0</v>
      </c>
      <c r="GU211" t="s">
        <v>3</v>
      </c>
      <c r="GV211">
        <f t="shared" si="220"/>
        <v>0</v>
      </c>
      <c r="GW211">
        <v>1</v>
      </c>
      <c r="GX211">
        <f t="shared" si="221"/>
        <v>0</v>
      </c>
      <c r="HA211">
        <v>0</v>
      </c>
      <c r="HB211">
        <v>0</v>
      </c>
      <c r="HC211">
        <f t="shared" si="222"/>
        <v>0</v>
      </c>
      <c r="HE211" t="s">
        <v>3</v>
      </c>
      <c r="HF211" t="s">
        <v>3</v>
      </c>
      <c r="HM211" t="s">
        <v>3</v>
      </c>
      <c r="HN211" t="s">
        <v>3</v>
      </c>
      <c r="HO211" t="s">
        <v>3</v>
      </c>
      <c r="HP211" t="s">
        <v>3</v>
      </c>
      <c r="HQ211" t="s">
        <v>3</v>
      </c>
      <c r="IK211">
        <v>0</v>
      </c>
    </row>
    <row r="212" spans="1:245" x14ac:dyDescent="0.2">
      <c r="A212">
        <v>18</v>
      </c>
      <c r="B212">
        <v>1</v>
      </c>
      <c r="C212">
        <v>224</v>
      </c>
      <c r="E212" t="s">
        <v>456</v>
      </c>
      <c r="F212" t="s">
        <v>273</v>
      </c>
      <c r="G212" t="s">
        <v>443</v>
      </c>
      <c r="H212" t="s">
        <v>75</v>
      </c>
      <c r="I212">
        <f>I211*J212</f>
        <v>2E-3</v>
      </c>
      <c r="J212">
        <v>0.04</v>
      </c>
      <c r="K212">
        <v>0.04</v>
      </c>
      <c r="O212">
        <f t="shared" si="191"/>
        <v>182.8</v>
      </c>
      <c r="P212">
        <f t="shared" si="192"/>
        <v>182.8</v>
      </c>
      <c r="Q212">
        <f>(ROUND((ROUND(((ET212)*AV212*I212),2)*BB212),2)+ROUND((ROUND(((AE212-(EU212))*AV212*I212),2)*BS212),2))</f>
        <v>0</v>
      </c>
      <c r="R212">
        <f t="shared" si="193"/>
        <v>0</v>
      </c>
      <c r="S212">
        <f t="shared" si="194"/>
        <v>0</v>
      </c>
      <c r="T212">
        <f t="shared" si="195"/>
        <v>0</v>
      </c>
      <c r="U212">
        <f t="shared" si="196"/>
        <v>0</v>
      </c>
      <c r="V212">
        <f t="shared" si="197"/>
        <v>0</v>
      </c>
      <c r="W212">
        <f t="shared" si="198"/>
        <v>0</v>
      </c>
      <c r="X212">
        <f t="shared" si="199"/>
        <v>0</v>
      </c>
      <c r="Y212">
        <f t="shared" si="200"/>
        <v>0</v>
      </c>
      <c r="AA212">
        <v>53860087</v>
      </c>
      <c r="AB212">
        <f t="shared" si="201"/>
        <v>27362.67</v>
      </c>
      <c r="AC212">
        <f t="shared" si="223"/>
        <v>27362.67</v>
      </c>
      <c r="AD212">
        <f>ROUND((((ET212)-(EU212))+AE212),6)</f>
        <v>0</v>
      </c>
      <c r="AE212">
        <f t="shared" ref="AE212:AF214" si="226">ROUND((EU212),6)</f>
        <v>0</v>
      </c>
      <c r="AF212">
        <f t="shared" si="226"/>
        <v>0</v>
      </c>
      <c r="AG212">
        <f t="shared" si="202"/>
        <v>0</v>
      </c>
      <c r="AH212">
        <f t="shared" ref="AH212:AI214" si="227">(EW212)</f>
        <v>0</v>
      </c>
      <c r="AI212">
        <f t="shared" si="227"/>
        <v>0</v>
      </c>
      <c r="AJ212">
        <f t="shared" si="203"/>
        <v>0</v>
      </c>
      <c r="AK212">
        <v>27362.67</v>
      </c>
      <c r="AL212">
        <v>27362.67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1</v>
      </c>
      <c r="AW212">
        <v>1</v>
      </c>
      <c r="AZ212">
        <v>1</v>
      </c>
      <c r="BA212">
        <v>1</v>
      </c>
      <c r="BB212">
        <v>1</v>
      </c>
      <c r="BC212">
        <v>3.34</v>
      </c>
      <c r="BD212" t="s">
        <v>3</v>
      </c>
      <c r="BE212" t="s">
        <v>3</v>
      </c>
      <c r="BF212" t="s">
        <v>3</v>
      </c>
      <c r="BG212" t="s">
        <v>3</v>
      </c>
      <c r="BH212">
        <v>3</v>
      </c>
      <c r="BI212">
        <v>1</v>
      </c>
      <c r="BJ212" t="s">
        <v>275</v>
      </c>
      <c r="BM212">
        <v>2281</v>
      </c>
      <c r="BN212">
        <v>0</v>
      </c>
      <c r="BO212" t="s">
        <v>273</v>
      </c>
      <c r="BP212">
        <v>1</v>
      </c>
      <c r="BQ212">
        <v>30</v>
      </c>
      <c r="BR212">
        <v>0</v>
      </c>
      <c r="BS212">
        <v>1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0</v>
      </c>
      <c r="CA212">
        <v>0</v>
      </c>
      <c r="CB212" t="s">
        <v>3</v>
      </c>
      <c r="CE212">
        <v>30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204"/>
        <v>182.8</v>
      </c>
      <c r="CQ212">
        <f t="shared" si="205"/>
        <v>91391.32</v>
      </c>
      <c r="CR212">
        <f>(ROUND((ROUND(((ET212)*AV212*1),2)*BB212),2)+ROUND((ROUND(((AE212-(EU212))*AV212*1),2)*BS212),2))</f>
        <v>0</v>
      </c>
      <c r="CS212">
        <f t="shared" si="206"/>
        <v>0</v>
      </c>
      <c r="CT212">
        <f t="shared" si="207"/>
        <v>0</v>
      </c>
      <c r="CU212">
        <f t="shared" si="208"/>
        <v>0</v>
      </c>
      <c r="CV212">
        <f t="shared" si="209"/>
        <v>0</v>
      </c>
      <c r="CW212">
        <f t="shared" si="210"/>
        <v>0</v>
      </c>
      <c r="CX212">
        <f t="shared" si="211"/>
        <v>0</v>
      </c>
      <c r="CY212">
        <f t="shared" si="212"/>
        <v>0</v>
      </c>
      <c r="CZ212">
        <f t="shared" si="213"/>
        <v>0</v>
      </c>
      <c r="DC212" t="s">
        <v>3</v>
      </c>
      <c r="DD212" t="s">
        <v>3</v>
      </c>
      <c r="DE212" t="s">
        <v>3</v>
      </c>
      <c r="DF212" t="s">
        <v>3</v>
      </c>
      <c r="DG212" t="s">
        <v>3</v>
      </c>
      <c r="DH212" t="s">
        <v>3</v>
      </c>
      <c r="DI212" t="s">
        <v>3</v>
      </c>
      <c r="DJ212" t="s">
        <v>3</v>
      </c>
      <c r="DK212" t="s">
        <v>3</v>
      </c>
      <c r="DL212" t="s">
        <v>3</v>
      </c>
      <c r="DM212" t="s">
        <v>3</v>
      </c>
      <c r="DN212">
        <v>104</v>
      </c>
      <c r="DO212">
        <v>70</v>
      </c>
      <c r="DP212">
        <v>1</v>
      </c>
      <c r="DQ212">
        <v>1</v>
      </c>
      <c r="DU212">
        <v>1009</v>
      </c>
      <c r="DV212" t="s">
        <v>75</v>
      </c>
      <c r="DW212" t="s">
        <v>75</v>
      </c>
      <c r="DX212">
        <v>1000</v>
      </c>
      <c r="DZ212" t="s">
        <v>3</v>
      </c>
      <c r="EA212" t="s">
        <v>3</v>
      </c>
      <c r="EB212" t="s">
        <v>3</v>
      </c>
      <c r="EC212" t="s">
        <v>3</v>
      </c>
      <c r="EE212">
        <v>53215100</v>
      </c>
      <c r="EF212">
        <v>30</v>
      </c>
      <c r="EG212" t="s">
        <v>37</v>
      </c>
      <c r="EH212">
        <v>0</v>
      </c>
      <c r="EI212" t="s">
        <v>3</v>
      </c>
      <c r="EJ212">
        <v>1</v>
      </c>
      <c r="EK212">
        <v>2281</v>
      </c>
      <c r="EL212" t="s">
        <v>454</v>
      </c>
      <c r="EM212" t="s">
        <v>455</v>
      </c>
      <c r="EO212" t="s">
        <v>3</v>
      </c>
      <c r="EQ212">
        <v>0</v>
      </c>
      <c r="ER212">
        <v>27362.67</v>
      </c>
      <c r="ES212">
        <v>27362.67</v>
      </c>
      <c r="ET212">
        <v>0</v>
      </c>
      <c r="EU212">
        <v>0</v>
      </c>
      <c r="EV212">
        <v>0</v>
      </c>
      <c r="EW212">
        <v>0</v>
      </c>
      <c r="EX212">
        <v>0</v>
      </c>
      <c r="FQ212">
        <v>0</v>
      </c>
      <c r="FR212">
        <f t="shared" si="214"/>
        <v>0</v>
      </c>
      <c r="FS212">
        <v>0</v>
      </c>
      <c r="FX212">
        <v>104</v>
      </c>
      <c r="FY212">
        <v>70</v>
      </c>
      <c r="GA212" t="s">
        <v>3</v>
      </c>
      <c r="GD212">
        <v>0</v>
      </c>
      <c r="GF212">
        <v>-2111103549</v>
      </c>
      <c r="GG212">
        <v>2</v>
      </c>
      <c r="GH212">
        <v>1</v>
      </c>
      <c r="GI212">
        <v>2</v>
      </c>
      <c r="GJ212">
        <v>0</v>
      </c>
      <c r="GK212">
        <f>ROUND(R212*(R12)/100,2)</f>
        <v>0</v>
      </c>
      <c r="GL212">
        <f t="shared" si="215"/>
        <v>0</v>
      </c>
      <c r="GM212">
        <f t="shared" si="216"/>
        <v>182.8</v>
      </c>
      <c r="GN212">
        <f t="shared" si="217"/>
        <v>182.8</v>
      </c>
      <c r="GO212">
        <f t="shared" si="218"/>
        <v>0</v>
      </c>
      <c r="GP212">
        <f t="shared" si="219"/>
        <v>0</v>
      </c>
      <c r="GR212">
        <v>0</v>
      </c>
      <c r="GS212">
        <v>3</v>
      </c>
      <c r="GT212">
        <v>0</v>
      </c>
      <c r="GU212" t="s">
        <v>3</v>
      </c>
      <c r="GV212">
        <f t="shared" si="220"/>
        <v>0</v>
      </c>
      <c r="GW212">
        <v>1</v>
      </c>
      <c r="GX212">
        <f t="shared" si="221"/>
        <v>0</v>
      </c>
      <c r="HA212">
        <v>0</v>
      </c>
      <c r="HB212">
        <v>0</v>
      </c>
      <c r="HC212">
        <f t="shared" si="222"/>
        <v>0</v>
      </c>
      <c r="HE212" t="s">
        <v>3</v>
      </c>
      <c r="HF212" t="s">
        <v>3</v>
      </c>
      <c r="HM212" t="s">
        <v>3</v>
      </c>
      <c r="HN212" t="s">
        <v>3</v>
      </c>
      <c r="HO212" t="s">
        <v>3</v>
      </c>
      <c r="HP212" t="s">
        <v>3</v>
      </c>
      <c r="HQ212" t="s">
        <v>3</v>
      </c>
      <c r="IK212">
        <v>0</v>
      </c>
    </row>
    <row r="213" spans="1:245" x14ac:dyDescent="0.2">
      <c r="A213">
        <v>18</v>
      </c>
      <c r="B213">
        <v>1</v>
      </c>
      <c r="C213">
        <v>225</v>
      </c>
      <c r="E213" t="s">
        <v>457</v>
      </c>
      <c r="F213" t="s">
        <v>277</v>
      </c>
      <c r="G213" t="s">
        <v>445</v>
      </c>
      <c r="H213" t="s">
        <v>75</v>
      </c>
      <c r="I213">
        <f>I211*J213</f>
        <v>4.2744999999999998E-2</v>
      </c>
      <c r="J213">
        <v>0.85489999999999988</v>
      </c>
      <c r="K213">
        <v>0.85489999999999999</v>
      </c>
      <c r="O213">
        <f t="shared" si="191"/>
        <v>534.78</v>
      </c>
      <c r="P213">
        <f t="shared" si="192"/>
        <v>534.78</v>
      </c>
      <c r="Q213">
        <f>(ROUND((ROUND(((ET213)*AV213*I213),2)*BB213),2)+ROUND((ROUND(((AE213-(EU213))*AV213*I213),2)*BS213),2))</f>
        <v>0</v>
      </c>
      <c r="R213">
        <f t="shared" si="193"/>
        <v>0</v>
      </c>
      <c r="S213">
        <f t="shared" si="194"/>
        <v>0</v>
      </c>
      <c r="T213">
        <f t="shared" si="195"/>
        <v>0</v>
      </c>
      <c r="U213">
        <f t="shared" si="196"/>
        <v>0</v>
      </c>
      <c r="V213">
        <f t="shared" si="197"/>
        <v>0</v>
      </c>
      <c r="W213">
        <f t="shared" si="198"/>
        <v>0</v>
      </c>
      <c r="X213">
        <f t="shared" si="199"/>
        <v>0</v>
      </c>
      <c r="Y213">
        <f t="shared" si="200"/>
        <v>0</v>
      </c>
      <c r="AA213">
        <v>53860087</v>
      </c>
      <c r="AB213">
        <f t="shared" si="201"/>
        <v>3971.63</v>
      </c>
      <c r="AC213">
        <f t="shared" si="223"/>
        <v>3971.63</v>
      </c>
      <c r="AD213">
        <f>ROUND((((ET213)-(EU213))+AE213),6)</f>
        <v>0</v>
      </c>
      <c r="AE213">
        <f t="shared" si="226"/>
        <v>0</v>
      </c>
      <c r="AF213">
        <f t="shared" si="226"/>
        <v>0</v>
      </c>
      <c r="AG213">
        <f t="shared" si="202"/>
        <v>0</v>
      </c>
      <c r="AH213">
        <f t="shared" si="227"/>
        <v>0</v>
      </c>
      <c r="AI213">
        <f t="shared" si="227"/>
        <v>0</v>
      </c>
      <c r="AJ213">
        <f t="shared" si="203"/>
        <v>0</v>
      </c>
      <c r="AK213">
        <v>3971.63</v>
      </c>
      <c r="AL213">
        <v>3971.63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1</v>
      </c>
      <c r="AW213">
        <v>1</v>
      </c>
      <c r="AZ213">
        <v>1</v>
      </c>
      <c r="BA213">
        <v>1</v>
      </c>
      <c r="BB213">
        <v>1</v>
      </c>
      <c r="BC213">
        <v>3.15</v>
      </c>
      <c r="BD213" t="s">
        <v>3</v>
      </c>
      <c r="BE213" t="s">
        <v>3</v>
      </c>
      <c r="BF213" t="s">
        <v>3</v>
      </c>
      <c r="BG213" t="s">
        <v>3</v>
      </c>
      <c r="BH213">
        <v>3</v>
      </c>
      <c r="BI213">
        <v>1</v>
      </c>
      <c r="BJ213" t="s">
        <v>279</v>
      </c>
      <c r="BM213">
        <v>2281</v>
      </c>
      <c r="BN213">
        <v>0</v>
      </c>
      <c r="BO213" t="s">
        <v>277</v>
      </c>
      <c r="BP213">
        <v>1</v>
      </c>
      <c r="BQ213">
        <v>30</v>
      </c>
      <c r="BR213">
        <v>0</v>
      </c>
      <c r="BS213">
        <v>1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0</v>
      </c>
      <c r="CA213">
        <v>0</v>
      </c>
      <c r="CB213" t="s">
        <v>3</v>
      </c>
      <c r="CE213">
        <v>30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204"/>
        <v>534.78</v>
      </c>
      <c r="CQ213">
        <f t="shared" si="205"/>
        <v>12510.63</v>
      </c>
      <c r="CR213">
        <f>(ROUND((ROUND(((ET213)*AV213*1),2)*BB213),2)+ROUND((ROUND(((AE213-(EU213))*AV213*1),2)*BS213),2))</f>
        <v>0</v>
      </c>
      <c r="CS213">
        <f t="shared" si="206"/>
        <v>0</v>
      </c>
      <c r="CT213">
        <f t="shared" si="207"/>
        <v>0</v>
      </c>
      <c r="CU213">
        <f t="shared" si="208"/>
        <v>0</v>
      </c>
      <c r="CV213">
        <f t="shared" si="209"/>
        <v>0</v>
      </c>
      <c r="CW213">
        <f t="shared" si="210"/>
        <v>0</v>
      </c>
      <c r="CX213">
        <f t="shared" si="211"/>
        <v>0</v>
      </c>
      <c r="CY213">
        <f t="shared" si="212"/>
        <v>0</v>
      </c>
      <c r="CZ213">
        <f t="shared" si="213"/>
        <v>0</v>
      </c>
      <c r="DC213" t="s">
        <v>3</v>
      </c>
      <c r="DD213" t="s">
        <v>3</v>
      </c>
      <c r="DE213" t="s">
        <v>3</v>
      </c>
      <c r="DF213" t="s">
        <v>3</v>
      </c>
      <c r="DG213" t="s">
        <v>3</v>
      </c>
      <c r="DH213" t="s">
        <v>3</v>
      </c>
      <c r="DI213" t="s">
        <v>3</v>
      </c>
      <c r="DJ213" t="s">
        <v>3</v>
      </c>
      <c r="DK213" t="s">
        <v>3</v>
      </c>
      <c r="DL213" t="s">
        <v>3</v>
      </c>
      <c r="DM213" t="s">
        <v>3</v>
      </c>
      <c r="DN213">
        <v>104</v>
      </c>
      <c r="DO213">
        <v>70</v>
      </c>
      <c r="DP213">
        <v>1</v>
      </c>
      <c r="DQ213">
        <v>1</v>
      </c>
      <c r="DU213">
        <v>1009</v>
      </c>
      <c r="DV213" t="s">
        <v>75</v>
      </c>
      <c r="DW213" t="s">
        <v>75</v>
      </c>
      <c r="DX213">
        <v>1000</v>
      </c>
      <c r="DZ213" t="s">
        <v>3</v>
      </c>
      <c r="EA213" t="s">
        <v>3</v>
      </c>
      <c r="EB213" t="s">
        <v>3</v>
      </c>
      <c r="EC213" t="s">
        <v>3</v>
      </c>
      <c r="EE213">
        <v>53215100</v>
      </c>
      <c r="EF213">
        <v>30</v>
      </c>
      <c r="EG213" t="s">
        <v>37</v>
      </c>
      <c r="EH213">
        <v>0</v>
      </c>
      <c r="EI213" t="s">
        <v>3</v>
      </c>
      <c r="EJ213">
        <v>1</v>
      </c>
      <c r="EK213">
        <v>2281</v>
      </c>
      <c r="EL213" t="s">
        <v>454</v>
      </c>
      <c r="EM213" t="s">
        <v>455</v>
      </c>
      <c r="EO213" t="s">
        <v>3</v>
      </c>
      <c r="EQ213">
        <v>0</v>
      </c>
      <c r="ER213">
        <v>3971.63</v>
      </c>
      <c r="ES213">
        <v>3971.63</v>
      </c>
      <c r="ET213">
        <v>0</v>
      </c>
      <c r="EU213">
        <v>0</v>
      </c>
      <c r="EV213">
        <v>0</v>
      </c>
      <c r="EW213">
        <v>0</v>
      </c>
      <c r="EX213">
        <v>0</v>
      </c>
      <c r="FQ213">
        <v>0</v>
      </c>
      <c r="FR213">
        <f t="shared" si="214"/>
        <v>0</v>
      </c>
      <c r="FS213">
        <v>0</v>
      </c>
      <c r="FX213">
        <v>104</v>
      </c>
      <c r="FY213">
        <v>70</v>
      </c>
      <c r="GA213" t="s">
        <v>3</v>
      </c>
      <c r="GD213">
        <v>0</v>
      </c>
      <c r="GF213">
        <v>188264796</v>
      </c>
      <c r="GG213">
        <v>2</v>
      </c>
      <c r="GH213">
        <v>1</v>
      </c>
      <c r="GI213">
        <v>2</v>
      </c>
      <c r="GJ213">
        <v>0</v>
      </c>
      <c r="GK213">
        <f>ROUND(R213*(R12)/100,2)</f>
        <v>0</v>
      </c>
      <c r="GL213">
        <f t="shared" si="215"/>
        <v>0</v>
      </c>
      <c r="GM213">
        <f t="shared" si="216"/>
        <v>534.78</v>
      </c>
      <c r="GN213">
        <f t="shared" si="217"/>
        <v>534.78</v>
      </c>
      <c r="GO213">
        <f t="shared" si="218"/>
        <v>0</v>
      </c>
      <c r="GP213">
        <f t="shared" si="219"/>
        <v>0</v>
      </c>
      <c r="GR213">
        <v>0</v>
      </c>
      <c r="GS213">
        <v>3</v>
      </c>
      <c r="GT213">
        <v>0</v>
      </c>
      <c r="GU213" t="s">
        <v>3</v>
      </c>
      <c r="GV213">
        <f t="shared" si="220"/>
        <v>0</v>
      </c>
      <c r="GW213">
        <v>1</v>
      </c>
      <c r="GX213">
        <f t="shared" si="221"/>
        <v>0</v>
      </c>
      <c r="HA213">
        <v>0</v>
      </c>
      <c r="HB213">
        <v>0</v>
      </c>
      <c r="HC213">
        <f t="shared" si="222"/>
        <v>0</v>
      </c>
      <c r="HE213" t="s">
        <v>3</v>
      </c>
      <c r="HF213" t="s">
        <v>3</v>
      </c>
      <c r="HM213" t="s">
        <v>3</v>
      </c>
      <c r="HN213" t="s">
        <v>3</v>
      </c>
      <c r="HO213" t="s">
        <v>3</v>
      </c>
      <c r="HP213" t="s">
        <v>3</v>
      </c>
      <c r="HQ213" t="s">
        <v>3</v>
      </c>
      <c r="IK213">
        <v>0</v>
      </c>
    </row>
    <row r="214" spans="1:245" x14ac:dyDescent="0.2">
      <c r="A214">
        <v>18</v>
      </c>
      <c r="B214">
        <v>1</v>
      </c>
      <c r="C214">
        <v>223</v>
      </c>
      <c r="E214" t="s">
        <v>458</v>
      </c>
      <c r="F214" t="s">
        <v>447</v>
      </c>
      <c r="G214" t="s">
        <v>448</v>
      </c>
      <c r="H214" t="s">
        <v>100</v>
      </c>
      <c r="I214">
        <f>I211*J214</f>
        <v>5.6</v>
      </c>
      <c r="J214">
        <v>111.99999999999999</v>
      </c>
      <c r="K214">
        <v>112</v>
      </c>
      <c r="O214">
        <f t="shared" si="191"/>
        <v>4830.43</v>
      </c>
      <c r="P214">
        <f t="shared" si="192"/>
        <v>4830.43</v>
      </c>
      <c r="Q214">
        <f>(ROUND((ROUND(((ET214)*AV214*I214),2)*BB214),2)+ROUND((ROUND(((AE214-(EU214))*AV214*I214),2)*BS214),2))</f>
        <v>0</v>
      </c>
      <c r="R214">
        <f t="shared" si="193"/>
        <v>0</v>
      </c>
      <c r="S214">
        <f t="shared" si="194"/>
        <v>0</v>
      </c>
      <c r="T214">
        <f t="shared" si="195"/>
        <v>0</v>
      </c>
      <c r="U214">
        <f t="shared" si="196"/>
        <v>0</v>
      </c>
      <c r="V214">
        <f t="shared" si="197"/>
        <v>0</v>
      </c>
      <c r="W214">
        <f t="shared" si="198"/>
        <v>0</v>
      </c>
      <c r="X214">
        <f t="shared" si="199"/>
        <v>0</v>
      </c>
      <c r="Y214">
        <f t="shared" si="200"/>
        <v>0</v>
      </c>
      <c r="AA214">
        <v>53860087</v>
      </c>
      <c r="AB214">
        <f t="shared" si="201"/>
        <v>127.6</v>
      </c>
      <c r="AC214">
        <f t="shared" si="223"/>
        <v>127.6</v>
      </c>
      <c r="AD214">
        <f>ROUND((((ET214)-(EU214))+AE214),6)</f>
        <v>0</v>
      </c>
      <c r="AE214">
        <f t="shared" si="226"/>
        <v>0</v>
      </c>
      <c r="AF214">
        <f t="shared" si="226"/>
        <v>0</v>
      </c>
      <c r="AG214">
        <f t="shared" si="202"/>
        <v>0</v>
      </c>
      <c r="AH214">
        <f t="shared" si="227"/>
        <v>0</v>
      </c>
      <c r="AI214">
        <f t="shared" si="227"/>
        <v>0</v>
      </c>
      <c r="AJ214">
        <f t="shared" si="203"/>
        <v>0</v>
      </c>
      <c r="AK214">
        <v>127.6</v>
      </c>
      <c r="AL214">
        <v>127.6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1</v>
      </c>
      <c r="AW214">
        <v>1</v>
      </c>
      <c r="AZ214">
        <v>1</v>
      </c>
      <c r="BA214">
        <v>1</v>
      </c>
      <c r="BB214">
        <v>1</v>
      </c>
      <c r="BC214">
        <v>6.76</v>
      </c>
      <c r="BD214" t="s">
        <v>3</v>
      </c>
      <c r="BE214" t="s">
        <v>3</v>
      </c>
      <c r="BF214" t="s">
        <v>3</v>
      </c>
      <c r="BG214" t="s">
        <v>3</v>
      </c>
      <c r="BH214">
        <v>3</v>
      </c>
      <c r="BI214">
        <v>1</v>
      </c>
      <c r="BJ214" t="s">
        <v>449</v>
      </c>
      <c r="BM214">
        <v>2281</v>
      </c>
      <c r="BN214">
        <v>0</v>
      </c>
      <c r="BO214" t="s">
        <v>447</v>
      </c>
      <c r="BP214">
        <v>1</v>
      </c>
      <c r="BQ214">
        <v>30</v>
      </c>
      <c r="BR214">
        <v>0</v>
      </c>
      <c r="BS214">
        <v>1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3</v>
      </c>
      <c r="BZ214">
        <v>0</v>
      </c>
      <c r="CA214">
        <v>0</v>
      </c>
      <c r="CB214" t="s">
        <v>3</v>
      </c>
      <c r="CE214">
        <v>30</v>
      </c>
      <c r="CF214">
        <v>0</v>
      </c>
      <c r="CG214">
        <v>0</v>
      </c>
      <c r="CM214">
        <v>0</v>
      </c>
      <c r="CN214" t="s">
        <v>3</v>
      </c>
      <c r="CO214">
        <v>0</v>
      </c>
      <c r="CP214">
        <f t="shared" si="204"/>
        <v>4830.43</v>
      </c>
      <c r="CQ214">
        <f t="shared" si="205"/>
        <v>862.58</v>
      </c>
      <c r="CR214">
        <f>(ROUND((ROUND(((ET214)*AV214*1),2)*BB214),2)+ROUND((ROUND(((AE214-(EU214))*AV214*1),2)*BS214),2))</f>
        <v>0</v>
      </c>
      <c r="CS214">
        <f t="shared" si="206"/>
        <v>0</v>
      </c>
      <c r="CT214">
        <f t="shared" si="207"/>
        <v>0</v>
      </c>
      <c r="CU214">
        <f t="shared" si="208"/>
        <v>0</v>
      </c>
      <c r="CV214">
        <f t="shared" si="209"/>
        <v>0</v>
      </c>
      <c r="CW214">
        <f t="shared" si="210"/>
        <v>0</v>
      </c>
      <c r="CX214">
        <f t="shared" si="211"/>
        <v>0</v>
      </c>
      <c r="CY214">
        <f t="shared" si="212"/>
        <v>0</v>
      </c>
      <c r="CZ214">
        <f t="shared" si="213"/>
        <v>0</v>
      </c>
      <c r="DC214" t="s">
        <v>3</v>
      </c>
      <c r="DD214" t="s">
        <v>3</v>
      </c>
      <c r="DE214" t="s">
        <v>3</v>
      </c>
      <c r="DF214" t="s">
        <v>3</v>
      </c>
      <c r="DG214" t="s">
        <v>3</v>
      </c>
      <c r="DH214" t="s">
        <v>3</v>
      </c>
      <c r="DI214" t="s">
        <v>3</v>
      </c>
      <c r="DJ214" t="s">
        <v>3</v>
      </c>
      <c r="DK214" t="s">
        <v>3</v>
      </c>
      <c r="DL214" t="s">
        <v>3</v>
      </c>
      <c r="DM214" t="s">
        <v>3</v>
      </c>
      <c r="DN214">
        <v>104</v>
      </c>
      <c r="DO214">
        <v>70</v>
      </c>
      <c r="DP214">
        <v>1</v>
      </c>
      <c r="DQ214">
        <v>1</v>
      </c>
      <c r="DU214">
        <v>1005</v>
      </c>
      <c r="DV214" t="s">
        <v>100</v>
      </c>
      <c r="DW214" t="s">
        <v>100</v>
      </c>
      <c r="DX214">
        <v>1</v>
      </c>
      <c r="DZ214" t="s">
        <v>3</v>
      </c>
      <c r="EA214" t="s">
        <v>3</v>
      </c>
      <c r="EB214" t="s">
        <v>3</v>
      </c>
      <c r="EC214" t="s">
        <v>3</v>
      </c>
      <c r="EE214">
        <v>53215100</v>
      </c>
      <c r="EF214">
        <v>30</v>
      </c>
      <c r="EG214" t="s">
        <v>37</v>
      </c>
      <c r="EH214">
        <v>0</v>
      </c>
      <c r="EI214" t="s">
        <v>3</v>
      </c>
      <c r="EJ214">
        <v>1</v>
      </c>
      <c r="EK214">
        <v>2281</v>
      </c>
      <c r="EL214" t="s">
        <v>454</v>
      </c>
      <c r="EM214" t="s">
        <v>455</v>
      </c>
      <c r="EO214" t="s">
        <v>3</v>
      </c>
      <c r="EQ214">
        <v>0</v>
      </c>
      <c r="ER214">
        <v>127.6</v>
      </c>
      <c r="ES214">
        <v>127.6</v>
      </c>
      <c r="ET214">
        <v>0</v>
      </c>
      <c r="EU214">
        <v>0</v>
      </c>
      <c r="EV214">
        <v>0</v>
      </c>
      <c r="EW214">
        <v>0</v>
      </c>
      <c r="EX214">
        <v>0</v>
      </c>
      <c r="FQ214">
        <v>0</v>
      </c>
      <c r="FR214">
        <f t="shared" si="214"/>
        <v>0</v>
      </c>
      <c r="FS214">
        <v>0</v>
      </c>
      <c r="FX214">
        <v>104</v>
      </c>
      <c r="FY214">
        <v>70</v>
      </c>
      <c r="GA214" t="s">
        <v>3</v>
      </c>
      <c r="GD214">
        <v>0</v>
      </c>
      <c r="GF214">
        <v>38374271</v>
      </c>
      <c r="GG214">
        <v>2</v>
      </c>
      <c r="GH214">
        <v>1</v>
      </c>
      <c r="GI214">
        <v>2</v>
      </c>
      <c r="GJ214">
        <v>0</v>
      </c>
      <c r="GK214">
        <f>ROUND(R214*(R12)/100,2)</f>
        <v>0</v>
      </c>
      <c r="GL214">
        <f t="shared" si="215"/>
        <v>0</v>
      </c>
      <c r="GM214">
        <f t="shared" si="216"/>
        <v>4830.43</v>
      </c>
      <c r="GN214">
        <f t="shared" si="217"/>
        <v>4830.43</v>
      </c>
      <c r="GO214">
        <f t="shared" si="218"/>
        <v>0</v>
      </c>
      <c r="GP214">
        <f t="shared" si="219"/>
        <v>0</v>
      </c>
      <c r="GR214">
        <v>0</v>
      </c>
      <c r="GS214">
        <v>3</v>
      </c>
      <c r="GT214">
        <v>0</v>
      </c>
      <c r="GU214" t="s">
        <v>3</v>
      </c>
      <c r="GV214">
        <f t="shared" si="220"/>
        <v>0</v>
      </c>
      <c r="GW214">
        <v>1</v>
      </c>
      <c r="GX214">
        <f t="shared" si="221"/>
        <v>0</v>
      </c>
      <c r="HA214">
        <v>0</v>
      </c>
      <c r="HB214">
        <v>0</v>
      </c>
      <c r="HC214">
        <f t="shared" si="222"/>
        <v>0</v>
      </c>
      <c r="HE214" t="s">
        <v>3</v>
      </c>
      <c r="HF214" t="s">
        <v>3</v>
      </c>
      <c r="HM214" t="s">
        <v>3</v>
      </c>
      <c r="HN214" t="s">
        <v>3</v>
      </c>
      <c r="HO214" t="s">
        <v>3</v>
      </c>
      <c r="HP214" t="s">
        <v>3</v>
      </c>
      <c r="HQ214" t="s">
        <v>3</v>
      </c>
      <c r="IK214">
        <v>0</v>
      </c>
    </row>
    <row r="215" spans="1:245" x14ac:dyDescent="0.2">
      <c r="A215">
        <v>17</v>
      </c>
      <c r="B215">
        <v>1</v>
      </c>
      <c r="C215">
        <f>ROW(SmtRes!A232)</f>
        <v>232</v>
      </c>
      <c r="D215">
        <f>ROW(EtalonRes!A344)</f>
        <v>344</v>
      </c>
      <c r="E215" t="s">
        <v>459</v>
      </c>
      <c r="F215" t="s">
        <v>460</v>
      </c>
      <c r="G215" t="s">
        <v>461</v>
      </c>
      <c r="H215" t="s">
        <v>150</v>
      </c>
      <c r="I215">
        <f>ROUND(28/100,9)</f>
        <v>0.28000000000000003</v>
      </c>
      <c r="J215">
        <v>0</v>
      </c>
      <c r="K215">
        <f>ROUND(28/100,9)</f>
        <v>0.28000000000000003</v>
      </c>
      <c r="O215">
        <f t="shared" si="191"/>
        <v>3494.54</v>
      </c>
      <c r="P215">
        <f t="shared" si="192"/>
        <v>0.12</v>
      </c>
      <c r="Q215">
        <f>(ROUND((ROUND((((ET215*1.25))*AV215*I215),2)*BB215),2)+ROUND((ROUND(((AE215-((EU215*1.25)))*AV215*I215),2)*BS215),2))</f>
        <v>10.95</v>
      </c>
      <c r="R215">
        <f t="shared" si="193"/>
        <v>3.91</v>
      </c>
      <c r="S215">
        <f t="shared" si="194"/>
        <v>3483.47</v>
      </c>
      <c r="T215">
        <f t="shared" si="195"/>
        <v>0</v>
      </c>
      <c r="U215">
        <f t="shared" si="196"/>
        <v>9.3959599999999988</v>
      </c>
      <c r="V215">
        <f t="shared" si="197"/>
        <v>0</v>
      </c>
      <c r="W215">
        <f t="shared" si="198"/>
        <v>0</v>
      </c>
      <c r="X215">
        <f t="shared" si="199"/>
        <v>3030.62</v>
      </c>
      <c r="Y215">
        <f t="shared" si="200"/>
        <v>1428.22</v>
      </c>
      <c r="AA215">
        <v>53860087</v>
      </c>
      <c r="AB215">
        <f t="shared" si="201"/>
        <v>416.69049999999999</v>
      </c>
      <c r="AC215">
        <f t="shared" si="223"/>
        <v>7.0000000000000007E-2</v>
      </c>
      <c r="AD215">
        <f>ROUND(((((ET215*1.25))-((EU215*1.25)))+AE215),6)</f>
        <v>3.2875000000000001</v>
      </c>
      <c r="AE215">
        <f>ROUND(((EU215*1.25)),6)</f>
        <v>0.47499999999999998</v>
      </c>
      <c r="AF215">
        <f>ROUND(((EV215*1.15)),6)</f>
        <v>413.33300000000003</v>
      </c>
      <c r="AG215">
        <f t="shared" si="202"/>
        <v>0</v>
      </c>
      <c r="AH215">
        <f>((EW215*1.15))</f>
        <v>33.556999999999995</v>
      </c>
      <c r="AI215">
        <f>((EX215*1.25))</f>
        <v>0</v>
      </c>
      <c r="AJ215">
        <f t="shared" si="203"/>
        <v>0</v>
      </c>
      <c r="AK215">
        <v>362.12</v>
      </c>
      <c r="AL215">
        <v>7.0000000000000007E-2</v>
      </c>
      <c r="AM215">
        <v>2.63</v>
      </c>
      <c r="AN215">
        <v>0.38</v>
      </c>
      <c r="AO215">
        <v>359.42</v>
      </c>
      <c r="AP215">
        <v>0</v>
      </c>
      <c r="AQ215">
        <v>29.18</v>
      </c>
      <c r="AR215">
        <v>0</v>
      </c>
      <c r="AS215">
        <v>0</v>
      </c>
      <c r="AT215">
        <v>87</v>
      </c>
      <c r="AU215">
        <v>41</v>
      </c>
      <c r="AV215">
        <v>1</v>
      </c>
      <c r="AW215">
        <v>1</v>
      </c>
      <c r="AZ215">
        <v>1</v>
      </c>
      <c r="BA215">
        <v>30.1</v>
      </c>
      <c r="BB215">
        <v>11.9</v>
      </c>
      <c r="BC215">
        <v>6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1</v>
      </c>
      <c r="BJ215" t="s">
        <v>462</v>
      </c>
      <c r="BM215">
        <v>91</v>
      </c>
      <c r="BN215">
        <v>36862081</v>
      </c>
      <c r="BO215" t="s">
        <v>460</v>
      </c>
      <c r="BP215">
        <v>1</v>
      </c>
      <c r="BQ215">
        <v>30</v>
      </c>
      <c r="BR215">
        <v>0</v>
      </c>
      <c r="BS215">
        <v>30.1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87</v>
      </c>
      <c r="CA215">
        <v>41</v>
      </c>
      <c r="CB215" t="s">
        <v>3</v>
      </c>
      <c r="CE215">
        <v>30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si="204"/>
        <v>3494.54</v>
      </c>
      <c r="CQ215">
        <f t="shared" si="205"/>
        <v>0.42</v>
      </c>
      <c r="CR215">
        <f>(ROUND((ROUND((((ET215*1.25))*AV215*1),2)*BB215),2)+ROUND((ROUND(((AE215-((EU215*1.25)))*AV215*1),2)*BS215),2))</f>
        <v>39.15</v>
      </c>
      <c r="CS215">
        <f t="shared" si="206"/>
        <v>14.45</v>
      </c>
      <c r="CT215">
        <f t="shared" si="207"/>
        <v>12441.23</v>
      </c>
      <c r="CU215">
        <f t="shared" si="208"/>
        <v>0</v>
      </c>
      <c r="CV215">
        <f t="shared" si="209"/>
        <v>33.556999999999995</v>
      </c>
      <c r="CW215">
        <f t="shared" si="210"/>
        <v>0</v>
      </c>
      <c r="CX215">
        <f t="shared" si="211"/>
        <v>0</v>
      </c>
      <c r="CY215">
        <f t="shared" si="212"/>
        <v>3030.6188999999999</v>
      </c>
      <c r="CZ215">
        <f t="shared" si="213"/>
        <v>1428.2226999999998</v>
      </c>
      <c r="DC215" t="s">
        <v>3</v>
      </c>
      <c r="DD215" t="s">
        <v>3</v>
      </c>
      <c r="DE215" t="s">
        <v>51</v>
      </c>
      <c r="DF215" t="s">
        <v>51</v>
      </c>
      <c r="DG215" t="s">
        <v>52</v>
      </c>
      <c r="DH215" t="s">
        <v>3</v>
      </c>
      <c r="DI215" t="s">
        <v>52</v>
      </c>
      <c r="DJ215" t="s">
        <v>51</v>
      </c>
      <c r="DK215" t="s">
        <v>3</v>
      </c>
      <c r="DL215" t="s">
        <v>3</v>
      </c>
      <c r="DM215" t="s">
        <v>3</v>
      </c>
      <c r="DN215">
        <v>104</v>
      </c>
      <c r="DO215">
        <v>70</v>
      </c>
      <c r="DP215">
        <v>1</v>
      </c>
      <c r="DQ215">
        <v>1</v>
      </c>
      <c r="DU215">
        <v>1003</v>
      </c>
      <c r="DV215" t="s">
        <v>150</v>
      </c>
      <c r="DW215" t="s">
        <v>150</v>
      </c>
      <c r="DX215">
        <v>100</v>
      </c>
      <c r="DZ215" t="s">
        <v>3</v>
      </c>
      <c r="EA215" t="s">
        <v>3</v>
      </c>
      <c r="EB215" t="s">
        <v>3</v>
      </c>
      <c r="EC215" t="s">
        <v>3</v>
      </c>
      <c r="EE215">
        <v>53212840</v>
      </c>
      <c r="EF215">
        <v>30</v>
      </c>
      <c r="EG215" t="s">
        <v>37</v>
      </c>
      <c r="EH215">
        <v>0</v>
      </c>
      <c r="EI215" t="s">
        <v>3</v>
      </c>
      <c r="EJ215">
        <v>1</v>
      </c>
      <c r="EK215">
        <v>91</v>
      </c>
      <c r="EL215" t="s">
        <v>463</v>
      </c>
      <c r="EM215" t="s">
        <v>464</v>
      </c>
      <c r="EO215" t="s">
        <v>3</v>
      </c>
      <c r="EQ215">
        <v>0</v>
      </c>
      <c r="ER215">
        <v>362.12</v>
      </c>
      <c r="ES215">
        <v>7.0000000000000007E-2</v>
      </c>
      <c r="ET215">
        <v>2.63</v>
      </c>
      <c r="EU215">
        <v>0.38</v>
      </c>
      <c r="EV215">
        <v>359.42</v>
      </c>
      <c r="EW215">
        <v>29.18</v>
      </c>
      <c r="EX215">
        <v>0</v>
      </c>
      <c r="EY215">
        <v>0</v>
      </c>
      <c r="FQ215">
        <v>0</v>
      </c>
      <c r="FR215">
        <f t="shared" si="214"/>
        <v>0</v>
      </c>
      <c r="FS215">
        <v>0</v>
      </c>
      <c r="FX215">
        <v>104</v>
      </c>
      <c r="FY215">
        <v>70</v>
      </c>
      <c r="GA215" t="s">
        <v>3</v>
      </c>
      <c r="GD215">
        <v>0</v>
      </c>
      <c r="GF215">
        <v>2061968263</v>
      </c>
      <c r="GG215">
        <v>2</v>
      </c>
      <c r="GH215">
        <v>1</v>
      </c>
      <c r="GI215">
        <v>2</v>
      </c>
      <c r="GJ215">
        <v>0</v>
      </c>
      <c r="GK215">
        <f>ROUND(R215*(R12)/100,2)</f>
        <v>6.26</v>
      </c>
      <c r="GL215">
        <f t="shared" si="215"/>
        <v>0</v>
      </c>
      <c r="GM215">
        <f t="shared" si="216"/>
        <v>7959.64</v>
      </c>
      <c r="GN215">
        <f t="shared" si="217"/>
        <v>7959.64</v>
      </c>
      <c r="GO215">
        <f t="shared" si="218"/>
        <v>0</v>
      </c>
      <c r="GP215">
        <f t="shared" si="219"/>
        <v>0</v>
      </c>
      <c r="GR215">
        <v>0</v>
      </c>
      <c r="GS215">
        <v>3</v>
      </c>
      <c r="GT215">
        <v>0</v>
      </c>
      <c r="GU215" t="s">
        <v>3</v>
      </c>
      <c r="GV215">
        <f t="shared" si="220"/>
        <v>0</v>
      </c>
      <c r="GW215">
        <v>1</v>
      </c>
      <c r="GX215">
        <f t="shared" si="221"/>
        <v>0</v>
      </c>
      <c r="HA215">
        <v>0</v>
      </c>
      <c r="HB215">
        <v>0</v>
      </c>
      <c r="HC215">
        <f t="shared" si="222"/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18</v>
      </c>
      <c r="B216">
        <v>1</v>
      </c>
      <c r="C216">
        <v>231</v>
      </c>
      <c r="E216" t="s">
        <v>465</v>
      </c>
      <c r="F216" t="s">
        <v>273</v>
      </c>
      <c r="G216" t="s">
        <v>443</v>
      </c>
      <c r="H216" t="s">
        <v>75</v>
      </c>
      <c r="I216">
        <f>I215*J216</f>
        <v>1.6799999999999999E-3</v>
      </c>
      <c r="J216">
        <v>5.9999999999999993E-3</v>
      </c>
      <c r="K216">
        <v>6.0000000000000001E-3</v>
      </c>
      <c r="O216">
        <f t="shared" si="191"/>
        <v>153.54</v>
      </c>
      <c r="P216">
        <f t="shared" si="192"/>
        <v>153.54</v>
      </c>
      <c r="Q216">
        <f>(ROUND((ROUND(((ET216)*AV216*I216),2)*BB216),2)+ROUND((ROUND(((AE216-(EU216))*AV216*I216),2)*BS216),2))</f>
        <v>0</v>
      </c>
      <c r="R216">
        <f t="shared" si="193"/>
        <v>0</v>
      </c>
      <c r="S216">
        <f t="shared" si="194"/>
        <v>0</v>
      </c>
      <c r="T216">
        <f t="shared" si="195"/>
        <v>0</v>
      </c>
      <c r="U216">
        <f t="shared" si="196"/>
        <v>0</v>
      </c>
      <c r="V216">
        <f t="shared" si="197"/>
        <v>0</v>
      </c>
      <c r="W216">
        <f t="shared" si="198"/>
        <v>0</v>
      </c>
      <c r="X216">
        <f t="shared" si="199"/>
        <v>0</v>
      </c>
      <c r="Y216">
        <f t="shared" si="200"/>
        <v>0</v>
      </c>
      <c r="AA216">
        <v>53860087</v>
      </c>
      <c r="AB216">
        <f t="shared" si="201"/>
        <v>27362.67</v>
      </c>
      <c r="AC216">
        <f t="shared" si="223"/>
        <v>27362.67</v>
      </c>
      <c r="AD216">
        <f>ROUND((((ET216)-(EU216))+AE216),6)</f>
        <v>0</v>
      </c>
      <c r="AE216">
        <f t="shared" ref="AE216:AF218" si="228">ROUND((EU216),6)</f>
        <v>0</v>
      </c>
      <c r="AF216">
        <f t="shared" si="228"/>
        <v>0</v>
      </c>
      <c r="AG216">
        <f t="shared" si="202"/>
        <v>0</v>
      </c>
      <c r="AH216">
        <f t="shared" ref="AH216:AI218" si="229">(EW216)</f>
        <v>0</v>
      </c>
      <c r="AI216">
        <f t="shared" si="229"/>
        <v>0</v>
      </c>
      <c r="AJ216">
        <f t="shared" si="203"/>
        <v>0</v>
      </c>
      <c r="AK216">
        <v>27362.67</v>
      </c>
      <c r="AL216">
        <v>27362.67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1</v>
      </c>
      <c r="AW216">
        <v>1</v>
      </c>
      <c r="AZ216">
        <v>1</v>
      </c>
      <c r="BA216">
        <v>1</v>
      </c>
      <c r="BB216">
        <v>1</v>
      </c>
      <c r="BC216">
        <v>3.34</v>
      </c>
      <c r="BD216" t="s">
        <v>3</v>
      </c>
      <c r="BE216" t="s">
        <v>3</v>
      </c>
      <c r="BF216" t="s">
        <v>3</v>
      </c>
      <c r="BG216" t="s">
        <v>3</v>
      </c>
      <c r="BH216">
        <v>3</v>
      </c>
      <c r="BI216">
        <v>1</v>
      </c>
      <c r="BJ216" t="s">
        <v>275</v>
      </c>
      <c r="BM216">
        <v>91</v>
      </c>
      <c r="BN216">
        <v>36862081</v>
      </c>
      <c r="BO216" t="s">
        <v>273</v>
      </c>
      <c r="BP216">
        <v>1</v>
      </c>
      <c r="BQ216">
        <v>30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0</v>
      </c>
      <c r="CA216">
        <v>0</v>
      </c>
      <c r="CB216" t="s">
        <v>3</v>
      </c>
      <c r="CE216">
        <v>30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204"/>
        <v>153.54</v>
      </c>
      <c r="CQ216">
        <f t="shared" si="205"/>
        <v>91391.32</v>
      </c>
      <c r="CR216">
        <f>(ROUND((ROUND(((ET216)*AV216*1),2)*BB216),2)+ROUND((ROUND(((AE216-(EU216))*AV216*1),2)*BS216),2))</f>
        <v>0</v>
      </c>
      <c r="CS216">
        <f t="shared" si="206"/>
        <v>0</v>
      </c>
      <c r="CT216">
        <f t="shared" si="207"/>
        <v>0</v>
      </c>
      <c r="CU216">
        <f t="shared" si="208"/>
        <v>0</v>
      </c>
      <c r="CV216">
        <f t="shared" si="209"/>
        <v>0</v>
      </c>
      <c r="CW216">
        <f t="shared" si="210"/>
        <v>0</v>
      </c>
      <c r="CX216">
        <f t="shared" si="211"/>
        <v>0</v>
      </c>
      <c r="CY216">
        <f t="shared" si="212"/>
        <v>0</v>
      </c>
      <c r="CZ216">
        <f t="shared" si="213"/>
        <v>0</v>
      </c>
      <c r="DC216" t="s">
        <v>3</v>
      </c>
      <c r="DD216" t="s">
        <v>3</v>
      </c>
      <c r="DE216" t="s">
        <v>3</v>
      </c>
      <c r="DF216" t="s">
        <v>3</v>
      </c>
      <c r="DG216" t="s">
        <v>3</v>
      </c>
      <c r="DH216" t="s">
        <v>3</v>
      </c>
      <c r="DI216" t="s">
        <v>3</v>
      </c>
      <c r="DJ216" t="s">
        <v>3</v>
      </c>
      <c r="DK216" t="s">
        <v>3</v>
      </c>
      <c r="DL216" t="s">
        <v>3</v>
      </c>
      <c r="DM216" t="s">
        <v>3</v>
      </c>
      <c r="DN216">
        <v>104</v>
      </c>
      <c r="DO216">
        <v>70</v>
      </c>
      <c r="DP216">
        <v>1</v>
      </c>
      <c r="DQ216">
        <v>1</v>
      </c>
      <c r="DU216">
        <v>1009</v>
      </c>
      <c r="DV216" t="s">
        <v>75</v>
      </c>
      <c r="DW216" t="s">
        <v>75</v>
      </c>
      <c r="DX216">
        <v>1000</v>
      </c>
      <c r="DZ216" t="s">
        <v>3</v>
      </c>
      <c r="EA216" t="s">
        <v>3</v>
      </c>
      <c r="EB216" t="s">
        <v>3</v>
      </c>
      <c r="EC216" t="s">
        <v>3</v>
      </c>
      <c r="EE216">
        <v>53212840</v>
      </c>
      <c r="EF216">
        <v>30</v>
      </c>
      <c r="EG216" t="s">
        <v>37</v>
      </c>
      <c r="EH216">
        <v>0</v>
      </c>
      <c r="EI216" t="s">
        <v>3</v>
      </c>
      <c r="EJ216">
        <v>1</v>
      </c>
      <c r="EK216">
        <v>91</v>
      </c>
      <c r="EL216" t="s">
        <v>463</v>
      </c>
      <c r="EM216" t="s">
        <v>464</v>
      </c>
      <c r="EO216" t="s">
        <v>3</v>
      </c>
      <c r="EQ216">
        <v>0</v>
      </c>
      <c r="ER216">
        <v>27362.67</v>
      </c>
      <c r="ES216">
        <v>27362.67</v>
      </c>
      <c r="ET216">
        <v>0</v>
      </c>
      <c r="EU216">
        <v>0</v>
      </c>
      <c r="EV216">
        <v>0</v>
      </c>
      <c r="EW216">
        <v>0</v>
      </c>
      <c r="EX216">
        <v>0</v>
      </c>
      <c r="FQ216">
        <v>0</v>
      </c>
      <c r="FR216">
        <f t="shared" si="214"/>
        <v>0</v>
      </c>
      <c r="FS216">
        <v>0</v>
      </c>
      <c r="FX216">
        <v>104</v>
      </c>
      <c r="FY216">
        <v>70</v>
      </c>
      <c r="GA216" t="s">
        <v>3</v>
      </c>
      <c r="GD216">
        <v>0</v>
      </c>
      <c r="GF216">
        <v>-2111103549</v>
      </c>
      <c r="GG216">
        <v>2</v>
      </c>
      <c r="GH216">
        <v>1</v>
      </c>
      <c r="GI216">
        <v>2</v>
      </c>
      <c r="GJ216">
        <v>0</v>
      </c>
      <c r="GK216">
        <f>ROUND(R216*(R12)/100,2)</f>
        <v>0</v>
      </c>
      <c r="GL216">
        <f t="shared" si="215"/>
        <v>0</v>
      </c>
      <c r="GM216">
        <f t="shared" si="216"/>
        <v>153.54</v>
      </c>
      <c r="GN216">
        <f t="shared" si="217"/>
        <v>153.54</v>
      </c>
      <c r="GO216">
        <f t="shared" si="218"/>
        <v>0</v>
      </c>
      <c r="GP216">
        <f t="shared" si="219"/>
        <v>0</v>
      </c>
      <c r="GR216">
        <v>0</v>
      </c>
      <c r="GS216">
        <v>3</v>
      </c>
      <c r="GT216">
        <v>0</v>
      </c>
      <c r="GU216" t="s">
        <v>3</v>
      </c>
      <c r="GV216">
        <f t="shared" si="220"/>
        <v>0</v>
      </c>
      <c r="GW216">
        <v>1</v>
      </c>
      <c r="GX216">
        <f t="shared" si="221"/>
        <v>0</v>
      </c>
      <c r="HA216">
        <v>0</v>
      </c>
      <c r="HB216">
        <v>0</v>
      </c>
      <c r="HC216">
        <f t="shared" si="222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18</v>
      </c>
      <c r="B217">
        <v>1</v>
      </c>
      <c r="C217">
        <v>232</v>
      </c>
      <c r="E217" t="s">
        <v>466</v>
      </c>
      <c r="F217" t="s">
        <v>277</v>
      </c>
      <c r="G217" t="s">
        <v>445</v>
      </c>
      <c r="H217" t="s">
        <v>75</v>
      </c>
      <c r="I217">
        <f>I215*J217</f>
        <v>1.204E-2</v>
      </c>
      <c r="J217">
        <v>4.2999999999999997E-2</v>
      </c>
      <c r="K217">
        <v>4.2999999999999997E-2</v>
      </c>
      <c r="O217">
        <f t="shared" si="191"/>
        <v>150.63</v>
      </c>
      <c r="P217">
        <f t="shared" si="192"/>
        <v>150.63</v>
      </c>
      <c r="Q217">
        <f>(ROUND((ROUND(((ET217)*AV217*I217),2)*BB217),2)+ROUND((ROUND(((AE217-(EU217))*AV217*I217),2)*BS217),2))</f>
        <v>0</v>
      </c>
      <c r="R217">
        <f t="shared" si="193"/>
        <v>0</v>
      </c>
      <c r="S217">
        <f t="shared" si="194"/>
        <v>0</v>
      </c>
      <c r="T217">
        <f t="shared" si="195"/>
        <v>0</v>
      </c>
      <c r="U217">
        <f t="shared" si="196"/>
        <v>0</v>
      </c>
      <c r="V217">
        <f t="shared" si="197"/>
        <v>0</v>
      </c>
      <c r="W217">
        <f t="shared" si="198"/>
        <v>0</v>
      </c>
      <c r="X217">
        <f t="shared" si="199"/>
        <v>0</v>
      </c>
      <c r="Y217">
        <f t="shared" si="200"/>
        <v>0</v>
      </c>
      <c r="AA217">
        <v>53860087</v>
      </c>
      <c r="AB217">
        <f t="shared" si="201"/>
        <v>3971.63</v>
      </c>
      <c r="AC217">
        <f t="shared" si="223"/>
        <v>3971.63</v>
      </c>
      <c r="AD217">
        <f>ROUND((((ET217)-(EU217))+AE217),6)</f>
        <v>0</v>
      </c>
      <c r="AE217">
        <f t="shared" si="228"/>
        <v>0</v>
      </c>
      <c r="AF217">
        <f t="shared" si="228"/>
        <v>0</v>
      </c>
      <c r="AG217">
        <f t="shared" si="202"/>
        <v>0</v>
      </c>
      <c r="AH217">
        <f t="shared" si="229"/>
        <v>0</v>
      </c>
      <c r="AI217">
        <f t="shared" si="229"/>
        <v>0</v>
      </c>
      <c r="AJ217">
        <f t="shared" si="203"/>
        <v>0</v>
      </c>
      <c r="AK217">
        <v>3971.63</v>
      </c>
      <c r="AL217">
        <v>3971.63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3.15</v>
      </c>
      <c r="BD217" t="s">
        <v>3</v>
      </c>
      <c r="BE217" t="s">
        <v>3</v>
      </c>
      <c r="BF217" t="s">
        <v>3</v>
      </c>
      <c r="BG217" t="s">
        <v>3</v>
      </c>
      <c r="BH217">
        <v>3</v>
      </c>
      <c r="BI217">
        <v>1</v>
      </c>
      <c r="BJ217" t="s">
        <v>279</v>
      </c>
      <c r="BM217">
        <v>91</v>
      </c>
      <c r="BN217">
        <v>36862081</v>
      </c>
      <c r="BO217" t="s">
        <v>277</v>
      </c>
      <c r="BP217">
        <v>1</v>
      </c>
      <c r="BQ217">
        <v>30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0</v>
      </c>
      <c r="CA217">
        <v>0</v>
      </c>
      <c r="CB217" t="s">
        <v>3</v>
      </c>
      <c r="CE217">
        <v>30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204"/>
        <v>150.63</v>
      </c>
      <c r="CQ217">
        <f t="shared" si="205"/>
        <v>12510.63</v>
      </c>
      <c r="CR217">
        <f>(ROUND((ROUND(((ET217)*AV217*1),2)*BB217),2)+ROUND((ROUND(((AE217-(EU217))*AV217*1),2)*BS217),2))</f>
        <v>0</v>
      </c>
      <c r="CS217">
        <f t="shared" si="206"/>
        <v>0</v>
      </c>
      <c r="CT217">
        <f t="shared" si="207"/>
        <v>0</v>
      </c>
      <c r="CU217">
        <f t="shared" si="208"/>
        <v>0</v>
      </c>
      <c r="CV217">
        <f t="shared" si="209"/>
        <v>0</v>
      </c>
      <c r="CW217">
        <f t="shared" si="210"/>
        <v>0</v>
      </c>
      <c r="CX217">
        <f t="shared" si="211"/>
        <v>0</v>
      </c>
      <c r="CY217">
        <f t="shared" si="212"/>
        <v>0</v>
      </c>
      <c r="CZ217">
        <f t="shared" si="213"/>
        <v>0</v>
      </c>
      <c r="DC217" t="s">
        <v>3</v>
      </c>
      <c r="DD217" t="s">
        <v>3</v>
      </c>
      <c r="DE217" t="s">
        <v>3</v>
      </c>
      <c r="DF217" t="s">
        <v>3</v>
      </c>
      <c r="DG217" t="s">
        <v>3</v>
      </c>
      <c r="DH217" t="s">
        <v>3</v>
      </c>
      <c r="DI217" t="s">
        <v>3</v>
      </c>
      <c r="DJ217" t="s">
        <v>3</v>
      </c>
      <c r="DK217" t="s">
        <v>3</v>
      </c>
      <c r="DL217" t="s">
        <v>3</v>
      </c>
      <c r="DM217" t="s">
        <v>3</v>
      </c>
      <c r="DN217">
        <v>104</v>
      </c>
      <c r="DO217">
        <v>70</v>
      </c>
      <c r="DP217">
        <v>1</v>
      </c>
      <c r="DQ217">
        <v>1</v>
      </c>
      <c r="DU217">
        <v>1009</v>
      </c>
      <c r="DV217" t="s">
        <v>75</v>
      </c>
      <c r="DW217" t="s">
        <v>75</v>
      </c>
      <c r="DX217">
        <v>1000</v>
      </c>
      <c r="DZ217" t="s">
        <v>3</v>
      </c>
      <c r="EA217" t="s">
        <v>3</v>
      </c>
      <c r="EB217" t="s">
        <v>3</v>
      </c>
      <c r="EC217" t="s">
        <v>3</v>
      </c>
      <c r="EE217">
        <v>53212840</v>
      </c>
      <c r="EF217">
        <v>30</v>
      </c>
      <c r="EG217" t="s">
        <v>37</v>
      </c>
      <c r="EH217">
        <v>0</v>
      </c>
      <c r="EI217" t="s">
        <v>3</v>
      </c>
      <c r="EJ217">
        <v>1</v>
      </c>
      <c r="EK217">
        <v>91</v>
      </c>
      <c r="EL217" t="s">
        <v>463</v>
      </c>
      <c r="EM217" t="s">
        <v>464</v>
      </c>
      <c r="EO217" t="s">
        <v>3</v>
      </c>
      <c r="EQ217">
        <v>0</v>
      </c>
      <c r="ER217">
        <v>3971.63</v>
      </c>
      <c r="ES217">
        <v>3971.63</v>
      </c>
      <c r="ET217">
        <v>0</v>
      </c>
      <c r="EU217">
        <v>0</v>
      </c>
      <c r="EV217">
        <v>0</v>
      </c>
      <c r="EW217">
        <v>0</v>
      </c>
      <c r="EX217">
        <v>0</v>
      </c>
      <c r="FQ217">
        <v>0</v>
      </c>
      <c r="FR217">
        <f t="shared" si="214"/>
        <v>0</v>
      </c>
      <c r="FS217">
        <v>0</v>
      </c>
      <c r="FX217">
        <v>104</v>
      </c>
      <c r="FY217">
        <v>70</v>
      </c>
      <c r="GA217" t="s">
        <v>3</v>
      </c>
      <c r="GD217">
        <v>0</v>
      </c>
      <c r="GF217">
        <v>188264796</v>
      </c>
      <c r="GG217">
        <v>2</v>
      </c>
      <c r="GH217">
        <v>1</v>
      </c>
      <c r="GI217">
        <v>2</v>
      </c>
      <c r="GJ217">
        <v>0</v>
      </c>
      <c r="GK217">
        <f>ROUND(R217*(R12)/100,2)</f>
        <v>0</v>
      </c>
      <c r="GL217">
        <f t="shared" si="215"/>
        <v>0</v>
      </c>
      <c r="GM217">
        <f t="shared" si="216"/>
        <v>150.63</v>
      </c>
      <c r="GN217">
        <f t="shared" si="217"/>
        <v>150.63</v>
      </c>
      <c r="GO217">
        <f t="shared" si="218"/>
        <v>0</v>
      </c>
      <c r="GP217">
        <f t="shared" si="219"/>
        <v>0</v>
      </c>
      <c r="GR217">
        <v>0</v>
      </c>
      <c r="GS217">
        <v>3</v>
      </c>
      <c r="GT217">
        <v>0</v>
      </c>
      <c r="GU217" t="s">
        <v>3</v>
      </c>
      <c r="GV217">
        <f t="shared" si="220"/>
        <v>0</v>
      </c>
      <c r="GW217">
        <v>1</v>
      </c>
      <c r="GX217">
        <f t="shared" si="221"/>
        <v>0</v>
      </c>
      <c r="HA217">
        <v>0</v>
      </c>
      <c r="HB217">
        <v>0</v>
      </c>
      <c r="HC217">
        <f t="shared" si="222"/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18</v>
      </c>
      <c r="B218">
        <v>1</v>
      </c>
      <c r="C218">
        <v>230</v>
      </c>
      <c r="E218" t="s">
        <v>467</v>
      </c>
      <c r="F218" t="s">
        <v>447</v>
      </c>
      <c r="G218" t="s">
        <v>448</v>
      </c>
      <c r="H218" t="s">
        <v>100</v>
      </c>
      <c r="I218">
        <f>I215*J218</f>
        <v>2.8559999999999999</v>
      </c>
      <c r="J218">
        <v>10.199999999999999</v>
      </c>
      <c r="K218">
        <v>10.199999999999999</v>
      </c>
      <c r="O218">
        <f t="shared" si="191"/>
        <v>2463.5500000000002</v>
      </c>
      <c r="P218">
        <f t="shared" si="192"/>
        <v>2463.5500000000002</v>
      </c>
      <c r="Q218">
        <f>(ROUND((ROUND(((ET218)*AV218*I218),2)*BB218),2)+ROUND((ROUND(((AE218-(EU218))*AV218*I218),2)*BS218),2))</f>
        <v>0</v>
      </c>
      <c r="R218">
        <f t="shared" si="193"/>
        <v>0</v>
      </c>
      <c r="S218">
        <f t="shared" si="194"/>
        <v>0</v>
      </c>
      <c r="T218">
        <f t="shared" si="195"/>
        <v>0</v>
      </c>
      <c r="U218">
        <f t="shared" si="196"/>
        <v>0</v>
      </c>
      <c r="V218">
        <f t="shared" si="197"/>
        <v>0</v>
      </c>
      <c r="W218">
        <f t="shared" si="198"/>
        <v>0</v>
      </c>
      <c r="X218">
        <f t="shared" si="199"/>
        <v>0</v>
      </c>
      <c r="Y218">
        <f t="shared" si="200"/>
        <v>0</v>
      </c>
      <c r="AA218">
        <v>53860087</v>
      </c>
      <c r="AB218">
        <f t="shared" si="201"/>
        <v>127.6</v>
      </c>
      <c r="AC218">
        <f t="shared" si="223"/>
        <v>127.6</v>
      </c>
      <c r="AD218">
        <f>ROUND((((ET218)-(EU218))+AE218),6)</f>
        <v>0</v>
      </c>
      <c r="AE218">
        <f t="shared" si="228"/>
        <v>0</v>
      </c>
      <c r="AF218">
        <f t="shared" si="228"/>
        <v>0</v>
      </c>
      <c r="AG218">
        <f t="shared" si="202"/>
        <v>0</v>
      </c>
      <c r="AH218">
        <f t="shared" si="229"/>
        <v>0</v>
      </c>
      <c r="AI218">
        <f t="shared" si="229"/>
        <v>0</v>
      </c>
      <c r="AJ218">
        <f t="shared" si="203"/>
        <v>0</v>
      </c>
      <c r="AK218">
        <v>127.6</v>
      </c>
      <c r="AL218">
        <v>127.6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6.76</v>
      </c>
      <c r="BD218" t="s">
        <v>3</v>
      </c>
      <c r="BE218" t="s">
        <v>3</v>
      </c>
      <c r="BF218" t="s">
        <v>3</v>
      </c>
      <c r="BG218" t="s">
        <v>3</v>
      </c>
      <c r="BH218">
        <v>3</v>
      </c>
      <c r="BI218">
        <v>1</v>
      </c>
      <c r="BJ218" t="s">
        <v>449</v>
      </c>
      <c r="BM218">
        <v>91</v>
      </c>
      <c r="BN218">
        <v>36862081</v>
      </c>
      <c r="BO218" t="s">
        <v>447</v>
      </c>
      <c r="BP218">
        <v>1</v>
      </c>
      <c r="BQ218">
        <v>30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0</v>
      </c>
      <c r="CA218">
        <v>0</v>
      </c>
      <c r="CB218" t="s">
        <v>3</v>
      </c>
      <c r="CE218">
        <v>30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204"/>
        <v>2463.5500000000002</v>
      </c>
      <c r="CQ218">
        <f t="shared" si="205"/>
        <v>862.58</v>
      </c>
      <c r="CR218">
        <f>(ROUND((ROUND(((ET218)*AV218*1),2)*BB218),2)+ROUND((ROUND(((AE218-(EU218))*AV218*1),2)*BS218),2))</f>
        <v>0</v>
      </c>
      <c r="CS218">
        <f t="shared" si="206"/>
        <v>0</v>
      </c>
      <c r="CT218">
        <f t="shared" si="207"/>
        <v>0</v>
      </c>
      <c r="CU218">
        <f t="shared" si="208"/>
        <v>0</v>
      </c>
      <c r="CV218">
        <f t="shared" si="209"/>
        <v>0</v>
      </c>
      <c r="CW218">
        <f t="shared" si="210"/>
        <v>0</v>
      </c>
      <c r="CX218">
        <f t="shared" si="211"/>
        <v>0</v>
      </c>
      <c r="CY218">
        <f t="shared" si="212"/>
        <v>0</v>
      </c>
      <c r="CZ218">
        <f t="shared" si="213"/>
        <v>0</v>
      </c>
      <c r="DC218" t="s">
        <v>3</v>
      </c>
      <c r="DD218" t="s">
        <v>3</v>
      </c>
      <c r="DE218" t="s">
        <v>3</v>
      </c>
      <c r="DF218" t="s">
        <v>3</v>
      </c>
      <c r="DG218" t="s">
        <v>3</v>
      </c>
      <c r="DH218" t="s">
        <v>3</v>
      </c>
      <c r="DI218" t="s">
        <v>3</v>
      </c>
      <c r="DJ218" t="s">
        <v>3</v>
      </c>
      <c r="DK218" t="s">
        <v>3</v>
      </c>
      <c r="DL218" t="s">
        <v>3</v>
      </c>
      <c r="DM218" t="s">
        <v>3</v>
      </c>
      <c r="DN218">
        <v>104</v>
      </c>
      <c r="DO218">
        <v>70</v>
      </c>
      <c r="DP218">
        <v>1</v>
      </c>
      <c r="DQ218">
        <v>1</v>
      </c>
      <c r="DU218">
        <v>1005</v>
      </c>
      <c r="DV218" t="s">
        <v>100</v>
      </c>
      <c r="DW218" t="s">
        <v>100</v>
      </c>
      <c r="DX218">
        <v>1</v>
      </c>
      <c r="DZ218" t="s">
        <v>3</v>
      </c>
      <c r="EA218" t="s">
        <v>3</v>
      </c>
      <c r="EB218" t="s">
        <v>3</v>
      </c>
      <c r="EC218" t="s">
        <v>3</v>
      </c>
      <c r="EE218">
        <v>53212840</v>
      </c>
      <c r="EF218">
        <v>30</v>
      </c>
      <c r="EG218" t="s">
        <v>37</v>
      </c>
      <c r="EH218">
        <v>0</v>
      </c>
      <c r="EI218" t="s">
        <v>3</v>
      </c>
      <c r="EJ218">
        <v>1</v>
      </c>
      <c r="EK218">
        <v>91</v>
      </c>
      <c r="EL218" t="s">
        <v>463</v>
      </c>
      <c r="EM218" t="s">
        <v>464</v>
      </c>
      <c r="EO218" t="s">
        <v>3</v>
      </c>
      <c r="EQ218">
        <v>0</v>
      </c>
      <c r="ER218">
        <v>127.6</v>
      </c>
      <c r="ES218">
        <v>127.6</v>
      </c>
      <c r="ET218">
        <v>0</v>
      </c>
      <c r="EU218">
        <v>0</v>
      </c>
      <c r="EV218">
        <v>0</v>
      </c>
      <c r="EW218">
        <v>0</v>
      </c>
      <c r="EX218">
        <v>0</v>
      </c>
      <c r="FQ218">
        <v>0</v>
      </c>
      <c r="FR218">
        <f t="shared" si="214"/>
        <v>0</v>
      </c>
      <c r="FS218">
        <v>0</v>
      </c>
      <c r="FX218">
        <v>104</v>
      </c>
      <c r="FY218">
        <v>70</v>
      </c>
      <c r="GA218" t="s">
        <v>3</v>
      </c>
      <c r="GD218">
        <v>0</v>
      </c>
      <c r="GF218">
        <v>38374271</v>
      </c>
      <c r="GG218">
        <v>2</v>
      </c>
      <c r="GH218">
        <v>1</v>
      </c>
      <c r="GI218">
        <v>2</v>
      </c>
      <c r="GJ218">
        <v>0</v>
      </c>
      <c r="GK218">
        <f>ROUND(R218*(R12)/100,2)</f>
        <v>0</v>
      </c>
      <c r="GL218">
        <f t="shared" si="215"/>
        <v>0</v>
      </c>
      <c r="GM218">
        <f t="shared" si="216"/>
        <v>2463.5500000000002</v>
      </c>
      <c r="GN218">
        <f t="shared" si="217"/>
        <v>2463.5500000000002</v>
      </c>
      <c r="GO218">
        <f t="shared" si="218"/>
        <v>0</v>
      </c>
      <c r="GP218">
        <f t="shared" si="219"/>
        <v>0</v>
      </c>
      <c r="GR218">
        <v>0</v>
      </c>
      <c r="GS218">
        <v>3</v>
      </c>
      <c r="GT218">
        <v>0</v>
      </c>
      <c r="GU218" t="s">
        <v>3</v>
      </c>
      <c r="GV218">
        <f t="shared" si="220"/>
        <v>0</v>
      </c>
      <c r="GW218">
        <v>1</v>
      </c>
      <c r="GX218">
        <f t="shared" si="221"/>
        <v>0</v>
      </c>
      <c r="HA218">
        <v>0</v>
      </c>
      <c r="HB218">
        <v>0</v>
      </c>
      <c r="HC218">
        <f t="shared" si="222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1</v>
      </c>
      <c r="C219">
        <f>ROW(SmtRes!A242)</f>
        <v>242</v>
      </c>
      <c r="D219">
        <f>ROW(EtalonRes!A353)</f>
        <v>353</v>
      </c>
      <c r="E219" t="s">
        <v>468</v>
      </c>
      <c r="F219" t="s">
        <v>469</v>
      </c>
      <c r="G219" t="s">
        <v>470</v>
      </c>
      <c r="H219" t="s">
        <v>409</v>
      </c>
      <c r="I219">
        <f>ROUND(120/100,9)</f>
        <v>1.2</v>
      </c>
      <c r="J219">
        <v>0</v>
      </c>
      <c r="K219">
        <f>ROUND(120/100,9)</f>
        <v>1.2</v>
      </c>
      <c r="O219">
        <f t="shared" si="191"/>
        <v>17291.87</v>
      </c>
      <c r="P219">
        <f t="shared" si="192"/>
        <v>101.47</v>
      </c>
      <c r="Q219">
        <f>(ROUND((ROUND((((ET219*1.25))*AV219*I219),2)*BB219),2)+ROUND((ROUND(((AE219-((EU219*1.25)))*AV219*I219),2)*BS219),2))</f>
        <v>929.48</v>
      </c>
      <c r="R219">
        <f t="shared" si="193"/>
        <v>279.02999999999997</v>
      </c>
      <c r="S219">
        <f t="shared" si="194"/>
        <v>16260.92</v>
      </c>
      <c r="T219">
        <f t="shared" si="195"/>
        <v>0</v>
      </c>
      <c r="U219">
        <f t="shared" si="196"/>
        <v>45.567599999999999</v>
      </c>
      <c r="V219">
        <f t="shared" si="197"/>
        <v>0</v>
      </c>
      <c r="W219">
        <f t="shared" si="198"/>
        <v>0</v>
      </c>
      <c r="X219">
        <f t="shared" si="199"/>
        <v>14147</v>
      </c>
      <c r="Y219">
        <f t="shared" si="200"/>
        <v>6666.98</v>
      </c>
      <c r="AA219">
        <v>53860087</v>
      </c>
      <c r="AB219">
        <f t="shared" si="201"/>
        <v>544.28049999999996</v>
      </c>
      <c r="AC219">
        <f t="shared" si="223"/>
        <v>25.24</v>
      </c>
      <c r="AD219">
        <f>ROUND(((((ET219*1.25))-((EU219*1.25)))+AE219),6)</f>
        <v>68.849999999999994</v>
      </c>
      <c r="AE219">
        <f>ROUND(((EU219*1.25)),6)</f>
        <v>7.7249999999999996</v>
      </c>
      <c r="AF219">
        <f>ROUND(((EV219*1.15)),6)</f>
        <v>450.19049999999999</v>
      </c>
      <c r="AG219">
        <f t="shared" si="202"/>
        <v>0</v>
      </c>
      <c r="AH219">
        <f>((EW219*1.15))</f>
        <v>37.972999999999999</v>
      </c>
      <c r="AI219">
        <f>((EX219*1.25))</f>
        <v>0</v>
      </c>
      <c r="AJ219">
        <f t="shared" si="203"/>
        <v>0</v>
      </c>
      <c r="AK219">
        <v>471.79</v>
      </c>
      <c r="AL219">
        <v>25.24</v>
      </c>
      <c r="AM219">
        <v>55.08</v>
      </c>
      <c r="AN219">
        <v>6.18</v>
      </c>
      <c r="AO219">
        <v>391.47</v>
      </c>
      <c r="AP219">
        <v>0</v>
      </c>
      <c r="AQ219">
        <v>33.020000000000003</v>
      </c>
      <c r="AR219">
        <v>0</v>
      </c>
      <c r="AS219">
        <v>0</v>
      </c>
      <c r="AT219">
        <v>87</v>
      </c>
      <c r="AU219">
        <v>41</v>
      </c>
      <c r="AV219">
        <v>1</v>
      </c>
      <c r="AW219">
        <v>1</v>
      </c>
      <c r="AZ219">
        <v>1</v>
      </c>
      <c r="BA219">
        <v>30.1</v>
      </c>
      <c r="BB219">
        <v>11.25</v>
      </c>
      <c r="BC219">
        <v>3.35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1</v>
      </c>
      <c r="BJ219" t="s">
        <v>471</v>
      </c>
      <c r="BM219">
        <v>1365</v>
      </c>
      <c r="BN219">
        <v>36862081</v>
      </c>
      <c r="BO219" t="s">
        <v>469</v>
      </c>
      <c r="BP219">
        <v>1</v>
      </c>
      <c r="BQ219">
        <v>30</v>
      </c>
      <c r="BR219">
        <v>0</v>
      </c>
      <c r="BS219">
        <v>30.1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87</v>
      </c>
      <c r="CA219">
        <v>41</v>
      </c>
      <c r="CB219" t="s">
        <v>3</v>
      </c>
      <c r="CE219">
        <v>30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204"/>
        <v>17291.87</v>
      </c>
      <c r="CQ219">
        <f t="shared" si="205"/>
        <v>84.55</v>
      </c>
      <c r="CR219">
        <f>(ROUND((ROUND((((ET219*1.25))*AV219*1),2)*BB219),2)+ROUND((ROUND(((AE219-((EU219*1.25)))*AV219*1),2)*BS219),2))</f>
        <v>774.56</v>
      </c>
      <c r="CS219">
        <f t="shared" si="206"/>
        <v>232.67</v>
      </c>
      <c r="CT219">
        <f t="shared" si="207"/>
        <v>13550.72</v>
      </c>
      <c r="CU219">
        <f t="shared" si="208"/>
        <v>0</v>
      </c>
      <c r="CV219">
        <f t="shared" si="209"/>
        <v>37.972999999999999</v>
      </c>
      <c r="CW219">
        <f t="shared" si="210"/>
        <v>0</v>
      </c>
      <c r="CX219">
        <f t="shared" si="211"/>
        <v>0</v>
      </c>
      <c r="CY219">
        <f t="shared" si="212"/>
        <v>14147.000400000001</v>
      </c>
      <c r="CZ219">
        <f t="shared" si="213"/>
        <v>6666.9771999999994</v>
      </c>
      <c r="DC219" t="s">
        <v>3</v>
      </c>
      <c r="DD219" t="s">
        <v>3</v>
      </c>
      <c r="DE219" t="s">
        <v>51</v>
      </c>
      <c r="DF219" t="s">
        <v>51</v>
      </c>
      <c r="DG219" t="s">
        <v>52</v>
      </c>
      <c r="DH219" t="s">
        <v>3</v>
      </c>
      <c r="DI219" t="s">
        <v>52</v>
      </c>
      <c r="DJ219" t="s">
        <v>51</v>
      </c>
      <c r="DK219" t="s">
        <v>3</v>
      </c>
      <c r="DL219" t="s">
        <v>3</v>
      </c>
      <c r="DM219" t="s">
        <v>3</v>
      </c>
      <c r="DN219">
        <v>104</v>
      </c>
      <c r="DO219">
        <v>70</v>
      </c>
      <c r="DP219">
        <v>1</v>
      </c>
      <c r="DQ219">
        <v>1</v>
      </c>
      <c r="DU219">
        <v>1013</v>
      </c>
      <c r="DV219" t="s">
        <v>409</v>
      </c>
      <c r="DW219" t="s">
        <v>409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53214114</v>
      </c>
      <c r="EF219">
        <v>30</v>
      </c>
      <c r="EG219" t="s">
        <v>37</v>
      </c>
      <c r="EH219">
        <v>0</v>
      </c>
      <c r="EI219" t="s">
        <v>3</v>
      </c>
      <c r="EJ219">
        <v>1</v>
      </c>
      <c r="EK219">
        <v>1365</v>
      </c>
      <c r="EL219" t="s">
        <v>472</v>
      </c>
      <c r="EM219" t="s">
        <v>473</v>
      </c>
      <c r="EO219" t="s">
        <v>3</v>
      </c>
      <c r="EQ219">
        <v>0</v>
      </c>
      <c r="ER219">
        <v>471.79</v>
      </c>
      <c r="ES219">
        <v>25.24</v>
      </c>
      <c r="ET219">
        <v>55.08</v>
      </c>
      <c r="EU219">
        <v>6.18</v>
      </c>
      <c r="EV219">
        <v>391.47</v>
      </c>
      <c r="EW219">
        <v>33.020000000000003</v>
      </c>
      <c r="EX219">
        <v>0</v>
      </c>
      <c r="EY219">
        <v>0</v>
      </c>
      <c r="FQ219">
        <v>0</v>
      </c>
      <c r="FR219">
        <f t="shared" si="214"/>
        <v>0</v>
      </c>
      <c r="FS219">
        <v>0</v>
      </c>
      <c r="FX219">
        <v>104</v>
      </c>
      <c r="FY219">
        <v>70</v>
      </c>
      <c r="GA219" t="s">
        <v>3</v>
      </c>
      <c r="GD219">
        <v>0</v>
      </c>
      <c r="GF219">
        <v>-343738256</v>
      </c>
      <c r="GG219">
        <v>2</v>
      </c>
      <c r="GH219">
        <v>1</v>
      </c>
      <c r="GI219">
        <v>2</v>
      </c>
      <c r="GJ219">
        <v>0</v>
      </c>
      <c r="GK219">
        <f>ROUND(R219*(R12)/100,2)</f>
        <v>446.45</v>
      </c>
      <c r="GL219">
        <f t="shared" si="215"/>
        <v>0</v>
      </c>
      <c r="GM219">
        <f t="shared" si="216"/>
        <v>38552.300000000003</v>
      </c>
      <c r="GN219">
        <f t="shared" si="217"/>
        <v>38552.300000000003</v>
      </c>
      <c r="GO219">
        <f t="shared" si="218"/>
        <v>0</v>
      </c>
      <c r="GP219">
        <f t="shared" si="219"/>
        <v>0</v>
      </c>
      <c r="GR219">
        <v>0</v>
      </c>
      <c r="GS219">
        <v>3</v>
      </c>
      <c r="GT219">
        <v>0</v>
      </c>
      <c r="GU219" t="s">
        <v>3</v>
      </c>
      <c r="GV219">
        <f t="shared" si="220"/>
        <v>0</v>
      </c>
      <c r="GW219">
        <v>1</v>
      </c>
      <c r="GX219">
        <f t="shared" si="221"/>
        <v>0</v>
      </c>
      <c r="HA219">
        <v>0</v>
      </c>
      <c r="HB219">
        <v>0</v>
      </c>
      <c r="HC219">
        <f t="shared" si="222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18</v>
      </c>
      <c r="B220">
        <v>1</v>
      </c>
      <c r="C220">
        <v>241</v>
      </c>
      <c r="E220" t="s">
        <v>474</v>
      </c>
      <c r="F220" t="s">
        <v>475</v>
      </c>
      <c r="G220" t="s">
        <v>476</v>
      </c>
      <c r="H220" t="s">
        <v>58</v>
      </c>
      <c r="I220">
        <f>I219*J220</f>
        <v>24</v>
      </c>
      <c r="J220">
        <v>20</v>
      </c>
      <c r="K220">
        <v>20</v>
      </c>
      <c r="O220">
        <f t="shared" si="191"/>
        <v>1695.36</v>
      </c>
      <c r="P220">
        <f t="shared" si="192"/>
        <v>1695.36</v>
      </c>
      <c r="Q220">
        <f>(ROUND((ROUND(((ET220)*AV220*I220),2)*BB220),2)+ROUND((ROUND(((AE220-(EU220))*AV220*I220),2)*BS220),2))</f>
        <v>0</v>
      </c>
      <c r="R220">
        <f t="shared" si="193"/>
        <v>0</v>
      </c>
      <c r="S220">
        <f t="shared" si="194"/>
        <v>0</v>
      </c>
      <c r="T220">
        <f t="shared" si="195"/>
        <v>0</v>
      </c>
      <c r="U220">
        <f t="shared" si="196"/>
        <v>0</v>
      </c>
      <c r="V220">
        <f t="shared" si="197"/>
        <v>0</v>
      </c>
      <c r="W220">
        <f t="shared" si="198"/>
        <v>0</v>
      </c>
      <c r="X220">
        <f t="shared" si="199"/>
        <v>0</v>
      </c>
      <c r="Y220">
        <f t="shared" si="200"/>
        <v>0</v>
      </c>
      <c r="AA220">
        <v>53860087</v>
      </c>
      <c r="AB220">
        <f t="shared" si="201"/>
        <v>17.66</v>
      </c>
      <c r="AC220">
        <f t="shared" si="223"/>
        <v>17.66</v>
      </c>
      <c r="AD220">
        <f>ROUND((((ET220)-(EU220))+AE220),6)</f>
        <v>0</v>
      </c>
      <c r="AE220">
        <f>ROUND((EU220),6)</f>
        <v>0</v>
      </c>
      <c r="AF220">
        <f>ROUND((EV220),6)</f>
        <v>0</v>
      </c>
      <c r="AG220">
        <f t="shared" si="202"/>
        <v>0</v>
      </c>
      <c r="AH220">
        <f>(EW220)</f>
        <v>0</v>
      </c>
      <c r="AI220">
        <f>(EX220)</f>
        <v>0</v>
      </c>
      <c r="AJ220">
        <f t="shared" si="203"/>
        <v>0</v>
      </c>
      <c r="AK220">
        <v>17.66</v>
      </c>
      <c r="AL220">
        <v>17.66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4</v>
      </c>
      <c r="BD220" t="s">
        <v>3</v>
      </c>
      <c r="BE220" t="s">
        <v>3</v>
      </c>
      <c r="BF220" t="s">
        <v>3</v>
      </c>
      <c r="BG220" t="s">
        <v>3</v>
      </c>
      <c r="BH220">
        <v>3</v>
      </c>
      <c r="BI220">
        <v>1</v>
      </c>
      <c r="BJ220" t="s">
        <v>477</v>
      </c>
      <c r="BM220">
        <v>1365</v>
      </c>
      <c r="BN220">
        <v>36862081</v>
      </c>
      <c r="BO220" t="s">
        <v>475</v>
      </c>
      <c r="BP220">
        <v>1</v>
      </c>
      <c r="BQ220">
        <v>30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0</v>
      </c>
      <c r="CA220">
        <v>0</v>
      </c>
      <c r="CB220" t="s">
        <v>3</v>
      </c>
      <c r="CE220">
        <v>30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204"/>
        <v>1695.36</v>
      </c>
      <c r="CQ220">
        <f t="shared" si="205"/>
        <v>70.64</v>
      </c>
      <c r="CR220">
        <f>(ROUND((ROUND(((ET220)*AV220*1),2)*BB220),2)+ROUND((ROUND(((AE220-(EU220))*AV220*1),2)*BS220),2))</f>
        <v>0</v>
      </c>
      <c r="CS220">
        <f t="shared" si="206"/>
        <v>0</v>
      </c>
      <c r="CT220">
        <f t="shared" si="207"/>
        <v>0</v>
      </c>
      <c r="CU220">
        <f t="shared" si="208"/>
        <v>0</v>
      </c>
      <c r="CV220">
        <f t="shared" si="209"/>
        <v>0</v>
      </c>
      <c r="CW220">
        <f t="shared" si="210"/>
        <v>0</v>
      </c>
      <c r="CX220">
        <f t="shared" si="211"/>
        <v>0</v>
      </c>
      <c r="CY220">
        <f t="shared" si="212"/>
        <v>0</v>
      </c>
      <c r="CZ220">
        <f t="shared" si="213"/>
        <v>0</v>
      </c>
      <c r="DC220" t="s">
        <v>3</v>
      </c>
      <c r="DD220" t="s">
        <v>3</v>
      </c>
      <c r="DE220" t="s">
        <v>3</v>
      </c>
      <c r="DF220" t="s">
        <v>3</v>
      </c>
      <c r="DG220" t="s">
        <v>3</v>
      </c>
      <c r="DH220" t="s">
        <v>3</v>
      </c>
      <c r="DI220" t="s">
        <v>3</v>
      </c>
      <c r="DJ220" t="s">
        <v>3</v>
      </c>
      <c r="DK220" t="s">
        <v>3</v>
      </c>
      <c r="DL220" t="s">
        <v>3</v>
      </c>
      <c r="DM220" t="s">
        <v>3</v>
      </c>
      <c r="DN220">
        <v>104</v>
      </c>
      <c r="DO220">
        <v>70</v>
      </c>
      <c r="DP220">
        <v>1</v>
      </c>
      <c r="DQ220">
        <v>1</v>
      </c>
      <c r="DU220">
        <v>1009</v>
      </c>
      <c r="DV220" t="s">
        <v>58</v>
      </c>
      <c r="DW220" t="s">
        <v>58</v>
      </c>
      <c r="DX220">
        <v>1</v>
      </c>
      <c r="DZ220" t="s">
        <v>3</v>
      </c>
      <c r="EA220" t="s">
        <v>3</v>
      </c>
      <c r="EB220" t="s">
        <v>3</v>
      </c>
      <c r="EC220" t="s">
        <v>3</v>
      </c>
      <c r="EE220">
        <v>53214114</v>
      </c>
      <c r="EF220">
        <v>30</v>
      </c>
      <c r="EG220" t="s">
        <v>37</v>
      </c>
      <c r="EH220">
        <v>0</v>
      </c>
      <c r="EI220" t="s">
        <v>3</v>
      </c>
      <c r="EJ220">
        <v>1</v>
      </c>
      <c r="EK220">
        <v>1365</v>
      </c>
      <c r="EL220" t="s">
        <v>472</v>
      </c>
      <c r="EM220" t="s">
        <v>473</v>
      </c>
      <c r="EO220" t="s">
        <v>3</v>
      </c>
      <c r="EQ220">
        <v>0</v>
      </c>
      <c r="ER220">
        <v>17.66</v>
      </c>
      <c r="ES220">
        <v>17.66</v>
      </c>
      <c r="ET220">
        <v>0</v>
      </c>
      <c r="EU220">
        <v>0</v>
      </c>
      <c r="EV220">
        <v>0</v>
      </c>
      <c r="EW220">
        <v>0</v>
      </c>
      <c r="EX220">
        <v>0</v>
      </c>
      <c r="FQ220">
        <v>0</v>
      </c>
      <c r="FR220">
        <f t="shared" si="214"/>
        <v>0</v>
      </c>
      <c r="FS220">
        <v>0</v>
      </c>
      <c r="FX220">
        <v>104</v>
      </c>
      <c r="FY220">
        <v>70</v>
      </c>
      <c r="GA220" t="s">
        <v>3</v>
      </c>
      <c r="GD220">
        <v>0</v>
      </c>
      <c r="GF220">
        <v>-686858074</v>
      </c>
      <c r="GG220">
        <v>2</v>
      </c>
      <c r="GH220">
        <v>1</v>
      </c>
      <c r="GI220">
        <v>2</v>
      </c>
      <c r="GJ220">
        <v>0</v>
      </c>
      <c r="GK220">
        <f>ROUND(R220*(R12)/100,2)</f>
        <v>0</v>
      </c>
      <c r="GL220">
        <f t="shared" si="215"/>
        <v>0</v>
      </c>
      <c r="GM220">
        <f t="shared" si="216"/>
        <v>1695.36</v>
      </c>
      <c r="GN220">
        <f t="shared" si="217"/>
        <v>1695.36</v>
      </c>
      <c r="GO220">
        <f t="shared" si="218"/>
        <v>0</v>
      </c>
      <c r="GP220">
        <f t="shared" si="219"/>
        <v>0</v>
      </c>
      <c r="GR220">
        <v>0</v>
      </c>
      <c r="GS220">
        <v>3</v>
      </c>
      <c r="GT220">
        <v>0</v>
      </c>
      <c r="GU220" t="s">
        <v>3</v>
      </c>
      <c r="GV220">
        <f t="shared" si="220"/>
        <v>0</v>
      </c>
      <c r="GW220">
        <v>1</v>
      </c>
      <c r="GX220">
        <f t="shared" si="221"/>
        <v>0</v>
      </c>
      <c r="HA220">
        <v>0</v>
      </c>
      <c r="HB220">
        <v>0</v>
      </c>
      <c r="HC220">
        <f t="shared" si="222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18</v>
      </c>
      <c r="B221">
        <v>1</v>
      </c>
      <c r="C221">
        <v>242</v>
      </c>
      <c r="E221" t="s">
        <v>478</v>
      </c>
      <c r="F221" t="s">
        <v>479</v>
      </c>
      <c r="G221" t="s">
        <v>981</v>
      </c>
      <c r="H221" t="s">
        <v>75</v>
      </c>
      <c r="I221">
        <f>I219*J221</f>
        <v>1.0104</v>
      </c>
      <c r="J221">
        <v>0.84199999999999997</v>
      </c>
      <c r="K221">
        <v>0.84199999999999997</v>
      </c>
      <c r="O221">
        <f t="shared" si="191"/>
        <v>26325.17</v>
      </c>
      <c r="P221">
        <f t="shared" si="192"/>
        <v>26325.17</v>
      </c>
      <c r="Q221">
        <f>(ROUND((ROUND(((ET221)*AV221*I221),2)*BB221),2)+ROUND((ROUND(((AE221-(EU221))*AV221*I221),2)*BS221),2))</f>
        <v>0</v>
      </c>
      <c r="R221">
        <f t="shared" si="193"/>
        <v>0</v>
      </c>
      <c r="S221">
        <f t="shared" si="194"/>
        <v>0</v>
      </c>
      <c r="T221">
        <f t="shared" si="195"/>
        <v>0</v>
      </c>
      <c r="U221">
        <f t="shared" si="196"/>
        <v>0</v>
      </c>
      <c r="V221">
        <f t="shared" si="197"/>
        <v>0</v>
      </c>
      <c r="W221">
        <f t="shared" si="198"/>
        <v>0</v>
      </c>
      <c r="X221">
        <f t="shared" si="199"/>
        <v>0</v>
      </c>
      <c r="Y221">
        <f t="shared" si="200"/>
        <v>0</v>
      </c>
      <c r="AA221">
        <v>53860087</v>
      </c>
      <c r="AB221">
        <f t="shared" si="201"/>
        <v>5039.5</v>
      </c>
      <c r="AC221">
        <f t="shared" si="223"/>
        <v>5039.5</v>
      </c>
      <c r="AD221">
        <f>ROUND((((ET221)-(EU221))+AE221),6)</f>
        <v>0</v>
      </c>
      <c r="AE221">
        <f>ROUND((EU221),6)</f>
        <v>0</v>
      </c>
      <c r="AF221">
        <f>ROUND((EV221),6)</f>
        <v>0</v>
      </c>
      <c r="AG221">
        <f t="shared" si="202"/>
        <v>0</v>
      </c>
      <c r="AH221">
        <f>(EW221)</f>
        <v>0</v>
      </c>
      <c r="AI221">
        <f>(EX221)</f>
        <v>0</v>
      </c>
      <c r="AJ221">
        <f t="shared" si="203"/>
        <v>0</v>
      </c>
      <c r="AK221">
        <v>5039.5</v>
      </c>
      <c r="AL221">
        <v>5039.5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5.17</v>
      </c>
      <c r="BD221" t="s">
        <v>3</v>
      </c>
      <c r="BE221" t="s">
        <v>3</v>
      </c>
      <c r="BF221" t="s">
        <v>3</v>
      </c>
      <c r="BG221" t="s">
        <v>3</v>
      </c>
      <c r="BH221">
        <v>3</v>
      </c>
      <c r="BI221">
        <v>1</v>
      </c>
      <c r="BJ221" t="s">
        <v>480</v>
      </c>
      <c r="BM221">
        <v>1365</v>
      </c>
      <c r="BN221">
        <v>36862081</v>
      </c>
      <c r="BO221" t="s">
        <v>479</v>
      </c>
      <c r="BP221">
        <v>1</v>
      </c>
      <c r="BQ221">
        <v>30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0</v>
      </c>
      <c r="CA221">
        <v>0</v>
      </c>
      <c r="CB221" t="s">
        <v>3</v>
      </c>
      <c r="CE221">
        <v>30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si="204"/>
        <v>26325.17</v>
      </c>
      <c r="CQ221">
        <f t="shared" si="205"/>
        <v>26054.22</v>
      </c>
      <c r="CR221">
        <f>(ROUND((ROUND(((ET221)*AV221*1),2)*BB221),2)+ROUND((ROUND(((AE221-(EU221))*AV221*1),2)*BS221),2))</f>
        <v>0</v>
      </c>
      <c r="CS221">
        <f t="shared" si="206"/>
        <v>0</v>
      </c>
      <c r="CT221">
        <f t="shared" si="207"/>
        <v>0</v>
      </c>
      <c r="CU221">
        <f t="shared" si="208"/>
        <v>0</v>
      </c>
      <c r="CV221">
        <f t="shared" si="209"/>
        <v>0</v>
      </c>
      <c r="CW221">
        <f t="shared" si="210"/>
        <v>0</v>
      </c>
      <c r="CX221">
        <f t="shared" si="211"/>
        <v>0</v>
      </c>
      <c r="CY221">
        <f t="shared" si="212"/>
        <v>0</v>
      </c>
      <c r="CZ221">
        <f t="shared" si="213"/>
        <v>0</v>
      </c>
      <c r="DC221" t="s">
        <v>3</v>
      </c>
      <c r="DD221" t="s">
        <v>3</v>
      </c>
      <c r="DE221" t="s">
        <v>3</v>
      </c>
      <c r="DF221" t="s">
        <v>3</v>
      </c>
      <c r="DG221" t="s">
        <v>3</v>
      </c>
      <c r="DH221" t="s">
        <v>3</v>
      </c>
      <c r="DI221" t="s">
        <v>3</v>
      </c>
      <c r="DJ221" t="s">
        <v>3</v>
      </c>
      <c r="DK221" t="s">
        <v>3</v>
      </c>
      <c r="DL221" t="s">
        <v>3</v>
      </c>
      <c r="DM221" t="s">
        <v>3</v>
      </c>
      <c r="DN221">
        <v>104</v>
      </c>
      <c r="DO221">
        <v>70</v>
      </c>
      <c r="DP221">
        <v>1</v>
      </c>
      <c r="DQ221">
        <v>1</v>
      </c>
      <c r="DU221">
        <v>1009</v>
      </c>
      <c r="DV221" t="s">
        <v>75</v>
      </c>
      <c r="DW221" t="s">
        <v>75</v>
      </c>
      <c r="DX221">
        <v>1000</v>
      </c>
      <c r="DZ221" t="s">
        <v>3</v>
      </c>
      <c r="EA221" t="s">
        <v>3</v>
      </c>
      <c r="EB221" t="s">
        <v>3</v>
      </c>
      <c r="EC221" t="s">
        <v>3</v>
      </c>
      <c r="EE221">
        <v>53214114</v>
      </c>
      <c r="EF221">
        <v>30</v>
      </c>
      <c r="EG221" t="s">
        <v>37</v>
      </c>
      <c r="EH221">
        <v>0</v>
      </c>
      <c r="EI221" t="s">
        <v>3</v>
      </c>
      <c r="EJ221">
        <v>1</v>
      </c>
      <c r="EK221">
        <v>1365</v>
      </c>
      <c r="EL221" t="s">
        <v>472</v>
      </c>
      <c r="EM221" t="s">
        <v>473</v>
      </c>
      <c r="EO221" t="s">
        <v>3</v>
      </c>
      <c r="EQ221">
        <v>0</v>
      </c>
      <c r="ER221">
        <v>5039.5</v>
      </c>
      <c r="ES221">
        <v>5039.5</v>
      </c>
      <c r="ET221">
        <v>0</v>
      </c>
      <c r="EU221">
        <v>0</v>
      </c>
      <c r="EV221">
        <v>0</v>
      </c>
      <c r="EW221">
        <v>0</v>
      </c>
      <c r="EX221">
        <v>0</v>
      </c>
      <c r="FQ221">
        <v>0</v>
      </c>
      <c r="FR221">
        <f t="shared" si="214"/>
        <v>0</v>
      </c>
      <c r="FS221">
        <v>0</v>
      </c>
      <c r="FX221">
        <v>104</v>
      </c>
      <c r="FY221">
        <v>70</v>
      </c>
      <c r="GA221" t="s">
        <v>3</v>
      </c>
      <c r="GD221">
        <v>0</v>
      </c>
      <c r="GF221">
        <v>1741567999</v>
      </c>
      <c r="GG221">
        <v>2</v>
      </c>
      <c r="GH221">
        <v>1</v>
      </c>
      <c r="GI221">
        <v>2</v>
      </c>
      <c r="GJ221">
        <v>0</v>
      </c>
      <c r="GK221">
        <f>ROUND(R221*(R12)/100,2)</f>
        <v>0</v>
      </c>
      <c r="GL221">
        <f t="shared" si="215"/>
        <v>0</v>
      </c>
      <c r="GM221">
        <f t="shared" si="216"/>
        <v>26325.17</v>
      </c>
      <c r="GN221">
        <f t="shared" si="217"/>
        <v>26325.17</v>
      </c>
      <c r="GO221">
        <f t="shared" si="218"/>
        <v>0</v>
      </c>
      <c r="GP221">
        <f t="shared" si="219"/>
        <v>0</v>
      </c>
      <c r="GR221">
        <v>0</v>
      </c>
      <c r="GS221">
        <v>3</v>
      </c>
      <c r="GT221">
        <v>0</v>
      </c>
      <c r="GU221" t="s">
        <v>3</v>
      </c>
      <c r="GV221">
        <f t="shared" si="220"/>
        <v>0</v>
      </c>
      <c r="GW221">
        <v>1</v>
      </c>
      <c r="GX221">
        <f t="shared" si="221"/>
        <v>0</v>
      </c>
      <c r="HA221">
        <v>0</v>
      </c>
      <c r="HB221">
        <v>0</v>
      </c>
      <c r="HC221">
        <f t="shared" si="222"/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1</v>
      </c>
      <c r="C222">
        <f>ROW(SmtRes!A252)</f>
        <v>252</v>
      </c>
      <c r="D222">
        <f>ROW(EtalonRes!A363)</f>
        <v>363</v>
      </c>
      <c r="E222" t="s">
        <v>481</v>
      </c>
      <c r="F222" t="s">
        <v>482</v>
      </c>
      <c r="G222" t="s">
        <v>483</v>
      </c>
      <c r="H222" t="s">
        <v>28</v>
      </c>
      <c r="I222">
        <f>ROUND(120/100,9)</f>
        <v>1.2</v>
      </c>
      <c r="J222">
        <v>0</v>
      </c>
      <c r="K222">
        <f>ROUND(120/100,9)</f>
        <v>1.2</v>
      </c>
      <c r="O222">
        <f t="shared" si="191"/>
        <v>31473.23</v>
      </c>
      <c r="P222">
        <f t="shared" si="192"/>
        <v>4855.22</v>
      </c>
      <c r="Q222">
        <f>(ROUND((ROUND((((ET222*1.25))*AV222*I222),2)*BB222),2)+ROUND((ROUND(((AE222-((EU222*1.25)))*AV222*I222),2)*BS222),2))</f>
        <v>1225.05</v>
      </c>
      <c r="R222">
        <f t="shared" si="193"/>
        <v>319.36</v>
      </c>
      <c r="S222">
        <f t="shared" si="194"/>
        <v>25392.959999999999</v>
      </c>
      <c r="T222">
        <f t="shared" si="195"/>
        <v>0</v>
      </c>
      <c r="U222">
        <f t="shared" si="196"/>
        <v>72.049799999999991</v>
      </c>
      <c r="V222">
        <f t="shared" si="197"/>
        <v>0</v>
      </c>
      <c r="W222">
        <f t="shared" si="198"/>
        <v>0</v>
      </c>
      <c r="X222">
        <f t="shared" si="199"/>
        <v>22091.88</v>
      </c>
      <c r="Y222">
        <f t="shared" si="200"/>
        <v>10411.11</v>
      </c>
      <c r="AA222">
        <v>53860087</v>
      </c>
      <c r="AB222">
        <f t="shared" si="201"/>
        <v>1563.2204999999999</v>
      </c>
      <c r="AC222">
        <f t="shared" si="223"/>
        <v>766.29</v>
      </c>
      <c r="AD222">
        <f>ROUND(((((ET222*1.25))-((EU222*1.25)))+AE222),6)</f>
        <v>93.912499999999994</v>
      </c>
      <c r="AE222">
        <f>ROUND(((EU222*1.25)),6)</f>
        <v>8.8375000000000004</v>
      </c>
      <c r="AF222">
        <f>ROUND(((EV222*1.15)),6)</f>
        <v>703.01800000000003</v>
      </c>
      <c r="AG222">
        <f t="shared" si="202"/>
        <v>0</v>
      </c>
      <c r="AH222">
        <f>((EW222*1.15))</f>
        <v>60.041499999999999</v>
      </c>
      <c r="AI222">
        <f>((EX222*1.25))</f>
        <v>0</v>
      </c>
      <c r="AJ222">
        <f t="shared" si="203"/>
        <v>0</v>
      </c>
      <c r="AK222">
        <v>1452.74</v>
      </c>
      <c r="AL222">
        <v>766.29</v>
      </c>
      <c r="AM222">
        <v>75.13</v>
      </c>
      <c r="AN222">
        <v>7.07</v>
      </c>
      <c r="AO222">
        <v>611.32000000000005</v>
      </c>
      <c r="AP222">
        <v>0</v>
      </c>
      <c r="AQ222">
        <v>52.21</v>
      </c>
      <c r="AR222">
        <v>0</v>
      </c>
      <c r="AS222">
        <v>0</v>
      </c>
      <c r="AT222">
        <v>87</v>
      </c>
      <c r="AU222">
        <v>41</v>
      </c>
      <c r="AV222">
        <v>1</v>
      </c>
      <c r="AW222">
        <v>1</v>
      </c>
      <c r="AZ222">
        <v>1</v>
      </c>
      <c r="BA222">
        <v>30.1</v>
      </c>
      <c r="BB222">
        <v>10.87</v>
      </c>
      <c r="BC222">
        <v>5.28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1</v>
      </c>
      <c r="BJ222" t="s">
        <v>484</v>
      </c>
      <c r="BM222">
        <v>1464</v>
      </c>
      <c r="BN222">
        <v>36862081</v>
      </c>
      <c r="BO222" t="s">
        <v>482</v>
      </c>
      <c r="BP222">
        <v>1</v>
      </c>
      <c r="BQ222">
        <v>30</v>
      </c>
      <c r="BR222">
        <v>0</v>
      </c>
      <c r="BS222">
        <v>30.1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87</v>
      </c>
      <c r="CA222">
        <v>41</v>
      </c>
      <c r="CB222" t="s">
        <v>3</v>
      </c>
      <c r="CE222">
        <v>30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204"/>
        <v>31473.23</v>
      </c>
      <c r="CQ222">
        <f t="shared" si="205"/>
        <v>4046.01</v>
      </c>
      <c r="CR222">
        <f>(ROUND((ROUND((((ET222*1.25))*AV222*1),2)*BB222),2)+ROUND((ROUND(((AE222-((EU222*1.25)))*AV222*1),2)*BS222),2))</f>
        <v>1020.8</v>
      </c>
      <c r="CS222">
        <f t="shared" si="206"/>
        <v>266.08</v>
      </c>
      <c r="CT222">
        <f t="shared" si="207"/>
        <v>21160.9</v>
      </c>
      <c r="CU222">
        <f t="shared" si="208"/>
        <v>0</v>
      </c>
      <c r="CV222">
        <f t="shared" si="209"/>
        <v>60.041499999999999</v>
      </c>
      <c r="CW222">
        <f t="shared" si="210"/>
        <v>0</v>
      </c>
      <c r="CX222">
        <f t="shared" si="211"/>
        <v>0</v>
      </c>
      <c r="CY222">
        <f t="shared" si="212"/>
        <v>22091.875199999999</v>
      </c>
      <c r="CZ222">
        <f t="shared" si="213"/>
        <v>10411.113599999999</v>
      </c>
      <c r="DC222" t="s">
        <v>3</v>
      </c>
      <c r="DD222" t="s">
        <v>3</v>
      </c>
      <c r="DE222" t="s">
        <v>51</v>
      </c>
      <c r="DF222" t="s">
        <v>51</v>
      </c>
      <c r="DG222" t="s">
        <v>52</v>
      </c>
      <c r="DH222" t="s">
        <v>3</v>
      </c>
      <c r="DI222" t="s">
        <v>52</v>
      </c>
      <c r="DJ222" t="s">
        <v>51</v>
      </c>
      <c r="DK222" t="s">
        <v>3</v>
      </c>
      <c r="DL222" t="s">
        <v>3</v>
      </c>
      <c r="DM222" t="s">
        <v>3</v>
      </c>
      <c r="DN222">
        <v>104</v>
      </c>
      <c r="DO222">
        <v>70</v>
      </c>
      <c r="DP222">
        <v>1</v>
      </c>
      <c r="DQ222">
        <v>1</v>
      </c>
      <c r="DU222">
        <v>1005</v>
      </c>
      <c r="DV222" t="s">
        <v>28</v>
      </c>
      <c r="DW222" t="s">
        <v>28</v>
      </c>
      <c r="DX222">
        <v>100</v>
      </c>
      <c r="DZ222" t="s">
        <v>3</v>
      </c>
      <c r="EA222" t="s">
        <v>3</v>
      </c>
      <c r="EB222" t="s">
        <v>3</v>
      </c>
      <c r="EC222" t="s">
        <v>3</v>
      </c>
      <c r="EE222">
        <v>53214213</v>
      </c>
      <c r="EF222">
        <v>30</v>
      </c>
      <c r="EG222" t="s">
        <v>37</v>
      </c>
      <c r="EH222">
        <v>0</v>
      </c>
      <c r="EI222" t="s">
        <v>3</v>
      </c>
      <c r="EJ222">
        <v>1</v>
      </c>
      <c r="EK222">
        <v>1464</v>
      </c>
      <c r="EL222" t="s">
        <v>485</v>
      </c>
      <c r="EM222" t="s">
        <v>486</v>
      </c>
      <c r="EO222" t="s">
        <v>3</v>
      </c>
      <c r="EQ222">
        <v>0</v>
      </c>
      <c r="ER222">
        <v>1452.74</v>
      </c>
      <c r="ES222">
        <v>766.29</v>
      </c>
      <c r="ET222">
        <v>75.13</v>
      </c>
      <c r="EU222">
        <v>7.07</v>
      </c>
      <c r="EV222">
        <v>611.32000000000005</v>
      </c>
      <c r="EW222">
        <v>52.21</v>
      </c>
      <c r="EX222">
        <v>0</v>
      </c>
      <c r="EY222">
        <v>0</v>
      </c>
      <c r="FQ222">
        <v>0</v>
      </c>
      <c r="FR222">
        <f t="shared" si="214"/>
        <v>0</v>
      </c>
      <c r="FS222">
        <v>0</v>
      </c>
      <c r="FX222">
        <v>104</v>
      </c>
      <c r="FY222">
        <v>70</v>
      </c>
      <c r="GA222" t="s">
        <v>3</v>
      </c>
      <c r="GD222">
        <v>0</v>
      </c>
      <c r="GF222">
        <v>-1140720664</v>
      </c>
      <c r="GG222">
        <v>2</v>
      </c>
      <c r="GH222">
        <v>1</v>
      </c>
      <c r="GI222">
        <v>2</v>
      </c>
      <c r="GJ222">
        <v>0</v>
      </c>
      <c r="GK222">
        <f>ROUND(R222*(R12)/100,2)</f>
        <v>510.98</v>
      </c>
      <c r="GL222">
        <f t="shared" si="215"/>
        <v>0</v>
      </c>
      <c r="GM222">
        <f t="shared" si="216"/>
        <v>64487.199999999997</v>
      </c>
      <c r="GN222">
        <f t="shared" si="217"/>
        <v>64487.199999999997</v>
      </c>
      <c r="GO222">
        <f t="shared" si="218"/>
        <v>0</v>
      </c>
      <c r="GP222">
        <f t="shared" si="219"/>
        <v>0</v>
      </c>
      <c r="GR222">
        <v>0</v>
      </c>
      <c r="GS222">
        <v>3</v>
      </c>
      <c r="GT222">
        <v>0</v>
      </c>
      <c r="GU222" t="s">
        <v>3</v>
      </c>
      <c r="GV222">
        <f t="shared" si="220"/>
        <v>0</v>
      </c>
      <c r="GW222">
        <v>1</v>
      </c>
      <c r="GX222">
        <f t="shared" si="221"/>
        <v>0</v>
      </c>
      <c r="HA222">
        <v>0</v>
      </c>
      <c r="HB222">
        <v>0</v>
      </c>
      <c r="HC222">
        <f t="shared" si="222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3" spans="1:245" x14ac:dyDescent="0.2">
      <c r="A223">
        <v>18</v>
      </c>
      <c r="B223">
        <v>1</v>
      </c>
      <c r="C223">
        <v>250</v>
      </c>
      <c r="E223" t="s">
        <v>487</v>
      </c>
      <c r="F223" t="s">
        <v>488</v>
      </c>
      <c r="G223" t="s">
        <v>489</v>
      </c>
      <c r="H223" t="s">
        <v>58</v>
      </c>
      <c r="I223">
        <f>I222*J223</f>
        <v>43.26</v>
      </c>
      <c r="J223">
        <v>36.049999999999997</v>
      </c>
      <c r="K223">
        <v>36.049999999999997</v>
      </c>
      <c r="O223">
        <f t="shared" si="191"/>
        <v>4989.71</v>
      </c>
      <c r="P223">
        <f t="shared" si="192"/>
        <v>4989.71</v>
      </c>
      <c r="Q223">
        <f>(ROUND((ROUND(((ET223)*AV223*I223),2)*BB223),2)+ROUND((ROUND(((AE223-(EU223))*AV223*I223),2)*BS223),2))</f>
        <v>0</v>
      </c>
      <c r="R223">
        <f t="shared" si="193"/>
        <v>0</v>
      </c>
      <c r="S223">
        <f t="shared" si="194"/>
        <v>0</v>
      </c>
      <c r="T223">
        <f t="shared" si="195"/>
        <v>0</v>
      </c>
      <c r="U223">
        <f t="shared" si="196"/>
        <v>0</v>
      </c>
      <c r="V223">
        <f t="shared" si="197"/>
        <v>0</v>
      </c>
      <c r="W223">
        <f t="shared" si="198"/>
        <v>0</v>
      </c>
      <c r="X223">
        <f t="shared" si="199"/>
        <v>0</v>
      </c>
      <c r="Y223">
        <f t="shared" si="200"/>
        <v>0</v>
      </c>
      <c r="AA223">
        <v>53860087</v>
      </c>
      <c r="AB223">
        <f t="shared" si="201"/>
        <v>21.97</v>
      </c>
      <c r="AC223">
        <f t="shared" si="223"/>
        <v>21.97</v>
      </c>
      <c r="AD223">
        <f>ROUND((((ET223)-(EU223))+AE223),6)</f>
        <v>0</v>
      </c>
      <c r="AE223">
        <f>ROUND((EU223),6)</f>
        <v>0</v>
      </c>
      <c r="AF223">
        <f>ROUND((EV223),6)</f>
        <v>0</v>
      </c>
      <c r="AG223">
        <f t="shared" si="202"/>
        <v>0</v>
      </c>
      <c r="AH223">
        <f>(EW223)</f>
        <v>0</v>
      </c>
      <c r="AI223">
        <f>(EX223)</f>
        <v>0</v>
      </c>
      <c r="AJ223">
        <f t="shared" si="203"/>
        <v>0</v>
      </c>
      <c r="AK223">
        <v>21.97</v>
      </c>
      <c r="AL223">
        <v>21.97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5.25</v>
      </c>
      <c r="BD223" t="s">
        <v>3</v>
      </c>
      <c r="BE223" t="s">
        <v>3</v>
      </c>
      <c r="BF223" t="s">
        <v>3</v>
      </c>
      <c r="BG223" t="s">
        <v>3</v>
      </c>
      <c r="BH223">
        <v>3</v>
      </c>
      <c r="BI223">
        <v>1</v>
      </c>
      <c r="BJ223" t="s">
        <v>490</v>
      </c>
      <c r="BM223">
        <v>1464</v>
      </c>
      <c r="BN223">
        <v>36862081</v>
      </c>
      <c r="BO223" t="s">
        <v>488</v>
      </c>
      <c r="BP223">
        <v>1</v>
      </c>
      <c r="BQ223">
        <v>30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0</v>
      </c>
      <c r="CA223">
        <v>0</v>
      </c>
      <c r="CB223" t="s">
        <v>3</v>
      </c>
      <c r="CE223">
        <v>30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 t="shared" si="204"/>
        <v>4989.71</v>
      </c>
      <c r="CQ223">
        <f t="shared" si="205"/>
        <v>115.34</v>
      </c>
      <c r="CR223">
        <f>(ROUND((ROUND(((ET223)*AV223*1),2)*BB223),2)+ROUND((ROUND(((AE223-(EU223))*AV223*1),2)*BS223),2))</f>
        <v>0</v>
      </c>
      <c r="CS223">
        <f t="shared" si="206"/>
        <v>0</v>
      </c>
      <c r="CT223">
        <f t="shared" si="207"/>
        <v>0</v>
      </c>
      <c r="CU223">
        <f t="shared" si="208"/>
        <v>0</v>
      </c>
      <c r="CV223">
        <f t="shared" si="209"/>
        <v>0</v>
      </c>
      <c r="CW223">
        <f t="shared" si="210"/>
        <v>0</v>
      </c>
      <c r="CX223">
        <f t="shared" si="211"/>
        <v>0</v>
      </c>
      <c r="CY223">
        <f t="shared" si="212"/>
        <v>0</v>
      </c>
      <c r="CZ223">
        <f t="shared" si="213"/>
        <v>0</v>
      </c>
      <c r="DC223" t="s">
        <v>3</v>
      </c>
      <c r="DD223" t="s">
        <v>3</v>
      </c>
      <c r="DE223" t="s">
        <v>3</v>
      </c>
      <c r="DF223" t="s">
        <v>3</v>
      </c>
      <c r="DG223" t="s">
        <v>3</v>
      </c>
      <c r="DH223" t="s">
        <v>3</v>
      </c>
      <c r="DI223" t="s">
        <v>3</v>
      </c>
      <c r="DJ223" t="s">
        <v>3</v>
      </c>
      <c r="DK223" t="s">
        <v>3</v>
      </c>
      <c r="DL223" t="s">
        <v>3</v>
      </c>
      <c r="DM223" t="s">
        <v>3</v>
      </c>
      <c r="DN223">
        <v>104</v>
      </c>
      <c r="DO223">
        <v>70</v>
      </c>
      <c r="DP223">
        <v>1</v>
      </c>
      <c r="DQ223">
        <v>1</v>
      </c>
      <c r="DU223">
        <v>1009</v>
      </c>
      <c r="DV223" t="s">
        <v>58</v>
      </c>
      <c r="DW223" t="s">
        <v>58</v>
      </c>
      <c r="DX223">
        <v>1</v>
      </c>
      <c r="DZ223" t="s">
        <v>3</v>
      </c>
      <c r="EA223" t="s">
        <v>3</v>
      </c>
      <c r="EB223" t="s">
        <v>3</v>
      </c>
      <c r="EC223" t="s">
        <v>3</v>
      </c>
      <c r="EE223">
        <v>53214213</v>
      </c>
      <c r="EF223">
        <v>30</v>
      </c>
      <c r="EG223" t="s">
        <v>37</v>
      </c>
      <c r="EH223">
        <v>0</v>
      </c>
      <c r="EI223" t="s">
        <v>3</v>
      </c>
      <c r="EJ223">
        <v>1</v>
      </c>
      <c r="EK223">
        <v>1464</v>
      </c>
      <c r="EL223" t="s">
        <v>485</v>
      </c>
      <c r="EM223" t="s">
        <v>486</v>
      </c>
      <c r="EO223" t="s">
        <v>3</v>
      </c>
      <c r="EQ223">
        <v>0</v>
      </c>
      <c r="ER223">
        <v>21.97</v>
      </c>
      <c r="ES223">
        <v>21.97</v>
      </c>
      <c r="ET223">
        <v>0</v>
      </c>
      <c r="EU223">
        <v>0</v>
      </c>
      <c r="EV223">
        <v>0</v>
      </c>
      <c r="EW223">
        <v>0</v>
      </c>
      <c r="EX223">
        <v>0</v>
      </c>
      <c r="FQ223">
        <v>0</v>
      </c>
      <c r="FR223">
        <f t="shared" si="214"/>
        <v>0</v>
      </c>
      <c r="FS223">
        <v>0</v>
      </c>
      <c r="FX223">
        <v>104</v>
      </c>
      <c r="FY223">
        <v>70</v>
      </c>
      <c r="GA223" t="s">
        <v>3</v>
      </c>
      <c r="GD223">
        <v>0</v>
      </c>
      <c r="GF223">
        <v>-81053968</v>
      </c>
      <c r="GG223">
        <v>2</v>
      </c>
      <c r="GH223">
        <v>1</v>
      </c>
      <c r="GI223">
        <v>2</v>
      </c>
      <c r="GJ223">
        <v>0</v>
      </c>
      <c r="GK223">
        <f>ROUND(R223*(R12)/100,2)</f>
        <v>0</v>
      </c>
      <c r="GL223">
        <f t="shared" si="215"/>
        <v>0</v>
      </c>
      <c r="GM223">
        <f t="shared" si="216"/>
        <v>4989.71</v>
      </c>
      <c r="GN223">
        <f t="shared" si="217"/>
        <v>4989.71</v>
      </c>
      <c r="GO223">
        <f t="shared" si="218"/>
        <v>0</v>
      </c>
      <c r="GP223">
        <f t="shared" si="219"/>
        <v>0</v>
      </c>
      <c r="GR223">
        <v>0</v>
      </c>
      <c r="GS223">
        <v>3</v>
      </c>
      <c r="GT223">
        <v>0</v>
      </c>
      <c r="GU223" t="s">
        <v>3</v>
      </c>
      <c r="GV223">
        <f t="shared" si="220"/>
        <v>0</v>
      </c>
      <c r="GW223">
        <v>1</v>
      </c>
      <c r="GX223">
        <f t="shared" si="221"/>
        <v>0</v>
      </c>
      <c r="HA223">
        <v>0</v>
      </c>
      <c r="HB223">
        <v>0</v>
      </c>
      <c r="HC223">
        <f t="shared" si="222"/>
        <v>0</v>
      </c>
      <c r="HE223" t="s">
        <v>3</v>
      </c>
      <c r="HF223" t="s">
        <v>3</v>
      </c>
      <c r="HM223" t="s">
        <v>3</v>
      </c>
      <c r="HN223" t="s">
        <v>3</v>
      </c>
      <c r="HO223" t="s">
        <v>3</v>
      </c>
      <c r="HP223" t="s">
        <v>3</v>
      </c>
      <c r="HQ223" t="s">
        <v>3</v>
      </c>
      <c r="IK223">
        <v>0</v>
      </c>
    </row>
    <row r="224" spans="1:245" x14ac:dyDescent="0.2">
      <c r="A224">
        <v>18</v>
      </c>
      <c r="B224">
        <v>1</v>
      </c>
      <c r="C224">
        <v>252</v>
      </c>
      <c r="E224" t="s">
        <v>491</v>
      </c>
      <c r="F224" t="s">
        <v>492</v>
      </c>
      <c r="G224" t="s">
        <v>493</v>
      </c>
      <c r="H224" t="s">
        <v>100</v>
      </c>
      <c r="I224">
        <f>I222*J224</f>
        <v>128.4</v>
      </c>
      <c r="J224">
        <v>107.00000000000001</v>
      </c>
      <c r="K224">
        <v>107</v>
      </c>
      <c r="O224">
        <f t="shared" si="191"/>
        <v>114248.74</v>
      </c>
      <c r="P224">
        <f t="shared" si="192"/>
        <v>114248.74</v>
      </c>
      <c r="Q224">
        <f>(ROUND((ROUND(((ET224)*AV224*I224),2)*BB224),2)+ROUND((ROUND(((AE224-(EU224))*AV224*I224),2)*BS224),2))</f>
        <v>0</v>
      </c>
      <c r="R224">
        <f t="shared" si="193"/>
        <v>0</v>
      </c>
      <c r="S224">
        <f t="shared" si="194"/>
        <v>0</v>
      </c>
      <c r="T224">
        <f t="shared" si="195"/>
        <v>0</v>
      </c>
      <c r="U224">
        <f t="shared" si="196"/>
        <v>0</v>
      </c>
      <c r="V224">
        <f t="shared" si="197"/>
        <v>0</v>
      </c>
      <c r="W224">
        <f t="shared" si="198"/>
        <v>0</v>
      </c>
      <c r="X224">
        <f t="shared" si="199"/>
        <v>0</v>
      </c>
      <c r="Y224">
        <f t="shared" si="200"/>
        <v>0</v>
      </c>
      <c r="AA224">
        <v>53860087</v>
      </c>
      <c r="AB224">
        <f t="shared" si="201"/>
        <v>324.74</v>
      </c>
      <c r="AC224">
        <f t="shared" si="223"/>
        <v>324.74</v>
      </c>
      <c r="AD224">
        <f>ROUND((((ET224)-(EU224))+AE224),6)</f>
        <v>0</v>
      </c>
      <c r="AE224">
        <f>ROUND((EU224),6)</f>
        <v>0</v>
      </c>
      <c r="AF224">
        <f>ROUND((EV224),6)</f>
        <v>0</v>
      </c>
      <c r="AG224">
        <f t="shared" si="202"/>
        <v>0</v>
      </c>
      <c r="AH224">
        <f>(EW224)</f>
        <v>0</v>
      </c>
      <c r="AI224">
        <f>(EX224)</f>
        <v>0</v>
      </c>
      <c r="AJ224">
        <f t="shared" si="203"/>
        <v>0</v>
      </c>
      <c r="AK224">
        <v>324.74</v>
      </c>
      <c r="AL224">
        <v>324.74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2.74</v>
      </c>
      <c r="BD224" t="s">
        <v>3</v>
      </c>
      <c r="BE224" t="s">
        <v>3</v>
      </c>
      <c r="BF224" t="s">
        <v>3</v>
      </c>
      <c r="BG224" t="s">
        <v>3</v>
      </c>
      <c r="BH224">
        <v>3</v>
      </c>
      <c r="BI224">
        <v>1</v>
      </c>
      <c r="BJ224" t="s">
        <v>494</v>
      </c>
      <c r="BM224">
        <v>1464</v>
      </c>
      <c r="BN224">
        <v>36862081</v>
      </c>
      <c r="BO224" t="s">
        <v>492</v>
      </c>
      <c r="BP224">
        <v>1</v>
      </c>
      <c r="BQ224">
        <v>30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30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 t="shared" si="204"/>
        <v>114248.74</v>
      </c>
      <c r="CQ224">
        <f t="shared" si="205"/>
        <v>889.79</v>
      </c>
      <c r="CR224">
        <f>(ROUND((ROUND(((ET224)*AV224*1),2)*BB224),2)+ROUND((ROUND(((AE224-(EU224))*AV224*1),2)*BS224),2))</f>
        <v>0</v>
      </c>
      <c r="CS224">
        <f t="shared" si="206"/>
        <v>0</v>
      </c>
      <c r="CT224">
        <f t="shared" si="207"/>
        <v>0</v>
      </c>
      <c r="CU224">
        <f t="shared" si="208"/>
        <v>0</v>
      </c>
      <c r="CV224">
        <f t="shared" si="209"/>
        <v>0</v>
      </c>
      <c r="CW224">
        <f t="shared" si="210"/>
        <v>0</v>
      </c>
      <c r="CX224">
        <f t="shared" si="211"/>
        <v>0</v>
      </c>
      <c r="CY224">
        <f t="shared" si="212"/>
        <v>0</v>
      </c>
      <c r="CZ224">
        <f t="shared" si="213"/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104</v>
      </c>
      <c r="DO224">
        <v>70</v>
      </c>
      <c r="DP224">
        <v>1</v>
      </c>
      <c r="DQ224">
        <v>1</v>
      </c>
      <c r="DU224">
        <v>1005</v>
      </c>
      <c r="DV224" t="s">
        <v>100</v>
      </c>
      <c r="DW224" t="s">
        <v>100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53214213</v>
      </c>
      <c r="EF224">
        <v>30</v>
      </c>
      <c r="EG224" t="s">
        <v>37</v>
      </c>
      <c r="EH224">
        <v>0</v>
      </c>
      <c r="EI224" t="s">
        <v>3</v>
      </c>
      <c r="EJ224">
        <v>1</v>
      </c>
      <c r="EK224">
        <v>1464</v>
      </c>
      <c r="EL224" t="s">
        <v>485</v>
      </c>
      <c r="EM224" t="s">
        <v>486</v>
      </c>
      <c r="EO224" t="s">
        <v>3</v>
      </c>
      <c r="EQ224">
        <v>0</v>
      </c>
      <c r="ER224">
        <v>324.74</v>
      </c>
      <c r="ES224">
        <v>324.74</v>
      </c>
      <c r="ET224">
        <v>0</v>
      </c>
      <c r="EU224">
        <v>0</v>
      </c>
      <c r="EV224">
        <v>0</v>
      </c>
      <c r="EW224">
        <v>0</v>
      </c>
      <c r="EX224">
        <v>0</v>
      </c>
      <c r="FQ224">
        <v>0</v>
      </c>
      <c r="FR224">
        <f t="shared" si="214"/>
        <v>0</v>
      </c>
      <c r="FS224">
        <v>0</v>
      </c>
      <c r="FX224">
        <v>104</v>
      </c>
      <c r="FY224">
        <v>70</v>
      </c>
      <c r="GA224" t="s">
        <v>3</v>
      </c>
      <c r="GD224">
        <v>0</v>
      </c>
      <c r="GF224">
        <v>-774822614</v>
      </c>
      <c r="GG224">
        <v>2</v>
      </c>
      <c r="GH224">
        <v>1</v>
      </c>
      <c r="GI224">
        <v>2</v>
      </c>
      <c r="GJ224">
        <v>0</v>
      </c>
      <c r="GK224">
        <f>ROUND(R224*(R12)/100,2)</f>
        <v>0</v>
      </c>
      <c r="GL224">
        <f t="shared" si="215"/>
        <v>0</v>
      </c>
      <c r="GM224">
        <f t="shared" si="216"/>
        <v>114248.74</v>
      </c>
      <c r="GN224">
        <f t="shared" si="217"/>
        <v>114248.74</v>
      </c>
      <c r="GO224">
        <f t="shared" si="218"/>
        <v>0</v>
      </c>
      <c r="GP224">
        <f t="shared" si="219"/>
        <v>0</v>
      </c>
      <c r="GR224">
        <v>0</v>
      </c>
      <c r="GS224">
        <v>3</v>
      </c>
      <c r="GT224">
        <v>0</v>
      </c>
      <c r="GU224" t="s">
        <v>3</v>
      </c>
      <c r="GV224">
        <f t="shared" si="220"/>
        <v>0</v>
      </c>
      <c r="GW224">
        <v>1</v>
      </c>
      <c r="GX224">
        <f t="shared" si="221"/>
        <v>0</v>
      </c>
      <c r="HA224">
        <v>0</v>
      </c>
      <c r="HB224">
        <v>0</v>
      </c>
      <c r="HC224">
        <f t="shared" si="222"/>
        <v>0</v>
      </c>
      <c r="HE224" t="s">
        <v>3</v>
      </c>
      <c r="HF224" t="s">
        <v>3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C225">
        <f>ROW(SmtRes!A257)</f>
        <v>257</v>
      </c>
      <c r="D225">
        <f>ROW(EtalonRes!A369)</f>
        <v>369</v>
      </c>
      <c r="E225" t="s">
        <v>3</v>
      </c>
      <c r="F225" t="s">
        <v>495</v>
      </c>
      <c r="G225" t="s">
        <v>496</v>
      </c>
      <c r="H225" t="s">
        <v>28</v>
      </c>
      <c r="I225">
        <f>ROUND(185/100,9)</f>
        <v>1.85</v>
      </c>
      <c r="J225">
        <v>0</v>
      </c>
      <c r="K225">
        <f>ROUND(185/100,9)</f>
        <v>1.85</v>
      </c>
      <c r="O225">
        <f t="shared" si="191"/>
        <v>21491.66</v>
      </c>
      <c r="P225">
        <f t="shared" si="192"/>
        <v>1758.81</v>
      </c>
      <c r="Q225">
        <f>(ROUND((ROUND((((ET225*1.25))*AV225*I225),2)*BB225),2)+ROUND((ROUND(((AE225-((EU225*1.25)))*AV225*I225),2)*BS225),2))</f>
        <v>1794.45</v>
      </c>
      <c r="R225">
        <f t="shared" si="193"/>
        <v>676.65</v>
      </c>
      <c r="S225">
        <f t="shared" si="194"/>
        <v>17938.400000000001</v>
      </c>
      <c r="T225">
        <f t="shared" si="195"/>
        <v>0</v>
      </c>
      <c r="U225">
        <f t="shared" si="196"/>
        <v>47.975124999999998</v>
      </c>
      <c r="V225">
        <f t="shared" si="197"/>
        <v>0</v>
      </c>
      <c r="W225">
        <f t="shared" si="198"/>
        <v>0</v>
      </c>
      <c r="X225">
        <f t="shared" si="199"/>
        <v>15606.41</v>
      </c>
      <c r="Y225">
        <f t="shared" si="200"/>
        <v>7354.74</v>
      </c>
      <c r="AA225">
        <v>-1</v>
      </c>
      <c r="AB225">
        <f t="shared" si="201"/>
        <v>671.06050000000005</v>
      </c>
      <c r="AC225">
        <f t="shared" si="223"/>
        <v>268.56</v>
      </c>
      <c r="AD225">
        <f>ROUND(((((ET225*1.25))-((EU225*1.25)))+AE225),6)</f>
        <v>80.362499999999997</v>
      </c>
      <c r="AE225">
        <f>ROUND(((EU225*1.25)),6)</f>
        <v>12.15</v>
      </c>
      <c r="AF225">
        <f>ROUND(((EV225*1.15)),6)</f>
        <v>322.13799999999998</v>
      </c>
      <c r="AG225">
        <f t="shared" si="202"/>
        <v>0</v>
      </c>
      <c r="AH225">
        <f>((EW225*1.15))</f>
        <v>25.932499999999997</v>
      </c>
      <c r="AI225">
        <f>((EX225*1.25))</f>
        <v>0</v>
      </c>
      <c r="AJ225">
        <f t="shared" si="203"/>
        <v>0</v>
      </c>
      <c r="AK225">
        <v>612.97</v>
      </c>
      <c r="AL225">
        <v>268.56</v>
      </c>
      <c r="AM225">
        <v>64.290000000000006</v>
      </c>
      <c r="AN225">
        <v>9.7200000000000006</v>
      </c>
      <c r="AO225">
        <v>280.12</v>
      </c>
      <c r="AP225">
        <v>0</v>
      </c>
      <c r="AQ225">
        <v>22.55</v>
      </c>
      <c r="AR225">
        <v>0</v>
      </c>
      <c r="AS225">
        <v>0</v>
      </c>
      <c r="AT225">
        <v>87</v>
      </c>
      <c r="AU225">
        <v>41</v>
      </c>
      <c r="AV225">
        <v>1</v>
      </c>
      <c r="AW225">
        <v>1</v>
      </c>
      <c r="AZ225">
        <v>1</v>
      </c>
      <c r="BA225">
        <v>30.1</v>
      </c>
      <c r="BB225">
        <v>12.07</v>
      </c>
      <c r="BC225">
        <v>3.54</v>
      </c>
      <c r="BD225" t="s">
        <v>3</v>
      </c>
      <c r="BE225" t="s">
        <v>3</v>
      </c>
      <c r="BF225" t="s">
        <v>3</v>
      </c>
      <c r="BG225" t="s">
        <v>3</v>
      </c>
      <c r="BH225">
        <v>0</v>
      </c>
      <c r="BI225">
        <v>1</v>
      </c>
      <c r="BJ225" t="s">
        <v>497</v>
      </c>
      <c r="BM225">
        <v>93</v>
      </c>
      <c r="BN225">
        <v>36862081</v>
      </c>
      <c r="BO225" t="s">
        <v>495</v>
      </c>
      <c r="BP225">
        <v>1</v>
      </c>
      <c r="BQ225">
        <v>30</v>
      </c>
      <c r="BR225">
        <v>0</v>
      </c>
      <c r="BS225">
        <v>30.1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87</v>
      </c>
      <c r="CA225">
        <v>41</v>
      </c>
      <c r="CB225" t="s">
        <v>3</v>
      </c>
      <c r="CE225">
        <v>30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 t="shared" si="204"/>
        <v>21491.660000000003</v>
      </c>
      <c r="CQ225">
        <f t="shared" si="205"/>
        <v>950.7</v>
      </c>
      <c r="CR225">
        <f>(ROUND((ROUND((((ET225*1.25))*AV225*1),2)*BB225),2)+ROUND((ROUND(((AE225-((EU225*1.25)))*AV225*1),2)*BS225),2))</f>
        <v>969.95</v>
      </c>
      <c r="CS225">
        <f t="shared" si="206"/>
        <v>365.72</v>
      </c>
      <c r="CT225">
        <f t="shared" si="207"/>
        <v>9696.41</v>
      </c>
      <c r="CU225">
        <f t="shared" si="208"/>
        <v>0</v>
      </c>
      <c r="CV225">
        <f t="shared" si="209"/>
        <v>25.932499999999997</v>
      </c>
      <c r="CW225">
        <f t="shared" si="210"/>
        <v>0</v>
      </c>
      <c r="CX225">
        <f t="shared" si="211"/>
        <v>0</v>
      </c>
      <c r="CY225">
        <f t="shared" si="212"/>
        <v>15606.408000000001</v>
      </c>
      <c r="CZ225">
        <f t="shared" si="213"/>
        <v>7354.7440000000006</v>
      </c>
      <c r="DC225" t="s">
        <v>3</v>
      </c>
      <c r="DD225" t="s">
        <v>3</v>
      </c>
      <c r="DE225" t="s">
        <v>51</v>
      </c>
      <c r="DF225" t="s">
        <v>51</v>
      </c>
      <c r="DG225" t="s">
        <v>52</v>
      </c>
      <c r="DH225" t="s">
        <v>3</v>
      </c>
      <c r="DI225" t="s">
        <v>52</v>
      </c>
      <c r="DJ225" t="s">
        <v>51</v>
      </c>
      <c r="DK225" t="s">
        <v>3</v>
      </c>
      <c r="DL225" t="s">
        <v>3</v>
      </c>
      <c r="DM225" t="s">
        <v>3</v>
      </c>
      <c r="DN225">
        <v>104</v>
      </c>
      <c r="DO225">
        <v>70</v>
      </c>
      <c r="DP225">
        <v>1</v>
      </c>
      <c r="DQ225">
        <v>1</v>
      </c>
      <c r="DU225">
        <v>1005</v>
      </c>
      <c r="DV225" t="s">
        <v>28</v>
      </c>
      <c r="DW225" t="s">
        <v>28</v>
      </c>
      <c r="DX225">
        <v>100</v>
      </c>
      <c r="DZ225" t="s">
        <v>3</v>
      </c>
      <c r="EA225" t="s">
        <v>3</v>
      </c>
      <c r="EB225" t="s">
        <v>3</v>
      </c>
      <c r="EC225" t="s">
        <v>3</v>
      </c>
      <c r="EE225">
        <v>53212842</v>
      </c>
      <c r="EF225">
        <v>30</v>
      </c>
      <c r="EG225" t="s">
        <v>37</v>
      </c>
      <c r="EH225">
        <v>0</v>
      </c>
      <c r="EI225" t="s">
        <v>3</v>
      </c>
      <c r="EJ225">
        <v>1</v>
      </c>
      <c r="EK225">
        <v>93</v>
      </c>
      <c r="EL225" t="s">
        <v>498</v>
      </c>
      <c r="EM225" t="s">
        <v>499</v>
      </c>
      <c r="EO225" t="s">
        <v>3</v>
      </c>
      <c r="EQ225">
        <v>1024</v>
      </c>
      <c r="ER225">
        <v>612.97</v>
      </c>
      <c r="ES225">
        <v>268.56</v>
      </c>
      <c r="ET225">
        <v>64.290000000000006</v>
      </c>
      <c r="EU225">
        <v>9.7200000000000006</v>
      </c>
      <c r="EV225">
        <v>280.12</v>
      </c>
      <c r="EW225">
        <v>22.55</v>
      </c>
      <c r="EX225">
        <v>0</v>
      </c>
      <c r="EY225">
        <v>0</v>
      </c>
      <c r="FQ225">
        <v>0</v>
      </c>
      <c r="FR225">
        <f t="shared" si="214"/>
        <v>0</v>
      </c>
      <c r="FS225">
        <v>0</v>
      </c>
      <c r="FX225">
        <v>104</v>
      </c>
      <c r="FY225">
        <v>70</v>
      </c>
      <c r="GA225" t="s">
        <v>3</v>
      </c>
      <c r="GD225">
        <v>0</v>
      </c>
      <c r="GF225">
        <v>853276379</v>
      </c>
      <c r="GG225">
        <v>2</v>
      </c>
      <c r="GH225">
        <v>1</v>
      </c>
      <c r="GI225">
        <v>2</v>
      </c>
      <c r="GJ225">
        <v>0</v>
      </c>
      <c r="GK225">
        <f>ROUND(R225*(R12)/100,2)</f>
        <v>1082.6400000000001</v>
      </c>
      <c r="GL225">
        <f t="shared" si="215"/>
        <v>0</v>
      </c>
      <c r="GM225">
        <f t="shared" si="216"/>
        <v>45535.45</v>
      </c>
      <c r="GN225">
        <f t="shared" si="217"/>
        <v>45535.45</v>
      </c>
      <c r="GO225">
        <f t="shared" si="218"/>
        <v>0</v>
      </c>
      <c r="GP225">
        <f t="shared" si="219"/>
        <v>0</v>
      </c>
      <c r="GR225">
        <v>0</v>
      </c>
      <c r="GS225">
        <v>3</v>
      </c>
      <c r="GT225">
        <v>0</v>
      </c>
      <c r="GU225" t="s">
        <v>3</v>
      </c>
      <c r="GV225">
        <f t="shared" si="220"/>
        <v>0</v>
      </c>
      <c r="GW225">
        <v>1</v>
      </c>
      <c r="GX225">
        <f t="shared" si="221"/>
        <v>0</v>
      </c>
      <c r="HA225">
        <v>0</v>
      </c>
      <c r="HB225">
        <v>0</v>
      </c>
      <c r="HC225">
        <f t="shared" si="222"/>
        <v>0</v>
      </c>
      <c r="HE225" t="s">
        <v>3</v>
      </c>
      <c r="HF225" t="s">
        <v>3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18</v>
      </c>
      <c r="B226">
        <v>1</v>
      </c>
      <c r="C226">
        <v>257</v>
      </c>
      <c r="E226" t="s">
        <v>3</v>
      </c>
      <c r="F226" t="s">
        <v>500</v>
      </c>
      <c r="G226" t="s">
        <v>501</v>
      </c>
      <c r="H226" t="s">
        <v>100</v>
      </c>
      <c r="I226">
        <f>I225*J226</f>
        <v>189.625</v>
      </c>
      <c r="J226">
        <v>102.5</v>
      </c>
      <c r="K226">
        <v>102.5</v>
      </c>
      <c r="O226">
        <f t="shared" si="191"/>
        <v>212085.56</v>
      </c>
      <c r="P226">
        <f t="shared" si="192"/>
        <v>212085.56</v>
      </c>
      <c r="Q226">
        <f>(ROUND((ROUND(((ET226)*AV226*I226),2)*BB226),2)+ROUND((ROUND(((AE226-(EU226))*AV226*I226),2)*BS226),2))</f>
        <v>0</v>
      </c>
      <c r="R226">
        <f t="shared" si="193"/>
        <v>0</v>
      </c>
      <c r="S226">
        <f t="shared" si="194"/>
        <v>0</v>
      </c>
      <c r="T226">
        <f t="shared" si="195"/>
        <v>0</v>
      </c>
      <c r="U226">
        <f t="shared" si="196"/>
        <v>0</v>
      </c>
      <c r="V226">
        <f t="shared" si="197"/>
        <v>0</v>
      </c>
      <c r="W226">
        <f t="shared" si="198"/>
        <v>0</v>
      </c>
      <c r="X226">
        <f t="shared" si="199"/>
        <v>0</v>
      </c>
      <c r="Y226">
        <f t="shared" si="200"/>
        <v>0</v>
      </c>
      <c r="AA226">
        <v>-1</v>
      </c>
      <c r="AB226">
        <f t="shared" si="201"/>
        <v>458.38</v>
      </c>
      <c r="AC226">
        <f t="shared" si="223"/>
        <v>458.38</v>
      </c>
      <c r="AD226">
        <f>ROUND((((ET226)-(EU226))+AE226),6)</f>
        <v>0</v>
      </c>
      <c r="AE226">
        <f>ROUND((EU226),6)</f>
        <v>0</v>
      </c>
      <c r="AF226">
        <f>ROUND((EV226),6)</f>
        <v>0</v>
      </c>
      <c r="AG226">
        <f t="shared" si="202"/>
        <v>0</v>
      </c>
      <c r="AH226">
        <f>(EW226)</f>
        <v>0</v>
      </c>
      <c r="AI226">
        <f>(EX226)</f>
        <v>0</v>
      </c>
      <c r="AJ226">
        <f t="shared" si="203"/>
        <v>0</v>
      </c>
      <c r="AK226">
        <v>458.38</v>
      </c>
      <c r="AL226">
        <v>458.38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2.44</v>
      </c>
      <c r="BD226" t="s">
        <v>3</v>
      </c>
      <c r="BE226" t="s">
        <v>3</v>
      </c>
      <c r="BF226" t="s">
        <v>3</v>
      </c>
      <c r="BG226" t="s">
        <v>3</v>
      </c>
      <c r="BH226">
        <v>3</v>
      </c>
      <c r="BI226">
        <v>1</v>
      </c>
      <c r="BJ226" t="s">
        <v>502</v>
      </c>
      <c r="BM226">
        <v>93</v>
      </c>
      <c r="BN226">
        <v>36862081</v>
      </c>
      <c r="BO226" t="s">
        <v>500</v>
      </c>
      <c r="BP226">
        <v>1</v>
      </c>
      <c r="BQ226">
        <v>30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0</v>
      </c>
      <c r="CA226">
        <v>0</v>
      </c>
      <c r="CB226" t="s">
        <v>3</v>
      </c>
      <c r="CE226">
        <v>30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 t="shared" si="204"/>
        <v>212085.56</v>
      </c>
      <c r="CQ226">
        <f t="shared" si="205"/>
        <v>1118.45</v>
      </c>
      <c r="CR226">
        <f>(ROUND((ROUND(((ET226)*AV226*1),2)*BB226),2)+ROUND((ROUND(((AE226-(EU226))*AV226*1),2)*BS226),2))</f>
        <v>0</v>
      </c>
      <c r="CS226">
        <f t="shared" si="206"/>
        <v>0</v>
      </c>
      <c r="CT226">
        <f t="shared" si="207"/>
        <v>0</v>
      </c>
      <c r="CU226">
        <f t="shared" si="208"/>
        <v>0</v>
      </c>
      <c r="CV226">
        <f t="shared" si="209"/>
        <v>0</v>
      </c>
      <c r="CW226">
        <f t="shared" si="210"/>
        <v>0</v>
      </c>
      <c r="CX226">
        <f t="shared" si="211"/>
        <v>0</v>
      </c>
      <c r="CY226">
        <f t="shared" si="212"/>
        <v>0</v>
      </c>
      <c r="CZ226">
        <f t="shared" si="213"/>
        <v>0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104</v>
      </c>
      <c r="DO226">
        <v>70</v>
      </c>
      <c r="DP226">
        <v>1</v>
      </c>
      <c r="DQ226">
        <v>1</v>
      </c>
      <c r="DU226">
        <v>1005</v>
      </c>
      <c r="DV226" t="s">
        <v>100</v>
      </c>
      <c r="DW226" t="s">
        <v>100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53212842</v>
      </c>
      <c r="EF226">
        <v>30</v>
      </c>
      <c r="EG226" t="s">
        <v>37</v>
      </c>
      <c r="EH226">
        <v>0</v>
      </c>
      <c r="EI226" t="s">
        <v>3</v>
      </c>
      <c r="EJ226">
        <v>1</v>
      </c>
      <c r="EK226">
        <v>93</v>
      </c>
      <c r="EL226" t="s">
        <v>498</v>
      </c>
      <c r="EM226" t="s">
        <v>499</v>
      </c>
      <c r="EO226" t="s">
        <v>3</v>
      </c>
      <c r="EQ226">
        <v>1024</v>
      </c>
      <c r="ER226">
        <v>458.38</v>
      </c>
      <c r="ES226">
        <v>458.38</v>
      </c>
      <c r="ET226">
        <v>0</v>
      </c>
      <c r="EU226">
        <v>0</v>
      </c>
      <c r="EV226">
        <v>0</v>
      </c>
      <c r="EW226">
        <v>0</v>
      </c>
      <c r="EX226">
        <v>0</v>
      </c>
      <c r="FQ226">
        <v>0</v>
      </c>
      <c r="FR226">
        <f t="shared" si="214"/>
        <v>0</v>
      </c>
      <c r="FS226">
        <v>0</v>
      </c>
      <c r="FX226">
        <v>104</v>
      </c>
      <c r="FY226">
        <v>70</v>
      </c>
      <c r="GA226" t="s">
        <v>3</v>
      </c>
      <c r="GD226">
        <v>0</v>
      </c>
      <c r="GF226">
        <v>975190431</v>
      </c>
      <c r="GG226">
        <v>2</v>
      </c>
      <c r="GH226">
        <v>1</v>
      </c>
      <c r="GI226">
        <v>2</v>
      </c>
      <c r="GJ226">
        <v>0</v>
      </c>
      <c r="GK226">
        <f>ROUND(R226*(R12)/100,2)</f>
        <v>0</v>
      </c>
      <c r="GL226">
        <f t="shared" si="215"/>
        <v>0</v>
      </c>
      <c r="GM226">
        <f t="shared" si="216"/>
        <v>212085.56</v>
      </c>
      <c r="GN226">
        <f t="shared" si="217"/>
        <v>212085.56</v>
      </c>
      <c r="GO226">
        <f t="shared" si="218"/>
        <v>0</v>
      </c>
      <c r="GP226">
        <f t="shared" si="219"/>
        <v>0</v>
      </c>
      <c r="GR226">
        <v>0</v>
      </c>
      <c r="GS226">
        <v>3</v>
      </c>
      <c r="GT226">
        <v>0</v>
      </c>
      <c r="GU226" t="s">
        <v>3</v>
      </c>
      <c r="GV226">
        <f t="shared" si="220"/>
        <v>0</v>
      </c>
      <c r="GW226">
        <v>1</v>
      </c>
      <c r="GX226">
        <f t="shared" si="221"/>
        <v>0</v>
      </c>
      <c r="HA226">
        <v>0</v>
      </c>
      <c r="HB226">
        <v>0</v>
      </c>
      <c r="HC226">
        <f t="shared" si="222"/>
        <v>0</v>
      </c>
      <c r="HE226" t="s">
        <v>3</v>
      </c>
      <c r="HF226" t="s">
        <v>3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C227">
        <f>ROW(SmtRes!A264)</f>
        <v>264</v>
      </c>
      <c r="D227">
        <f>ROW(EtalonRes!A377)</f>
        <v>377</v>
      </c>
      <c r="E227" t="s">
        <v>503</v>
      </c>
      <c r="F227" t="s">
        <v>504</v>
      </c>
      <c r="G227" t="s">
        <v>505</v>
      </c>
      <c r="H227" t="s">
        <v>384</v>
      </c>
      <c r="I227">
        <f>ROUND(78/100,9)</f>
        <v>0.78</v>
      </c>
      <c r="J227">
        <v>0</v>
      </c>
      <c r="K227">
        <f>ROUND(78/100,9)</f>
        <v>0.78</v>
      </c>
      <c r="O227">
        <f t="shared" si="191"/>
        <v>2553.1799999999998</v>
      </c>
      <c r="P227">
        <f t="shared" si="192"/>
        <v>342.08</v>
      </c>
      <c r="Q227">
        <f>(ROUND((ROUND((((ET227*1.25))*AV227*I227),2)*BB227),2)+ROUND((ROUND(((AE227-((EU227*1.25)))*AV227*I227),2)*BS227),2))</f>
        <v>46.01</v>
      </c>
      <c r="R227">
        <f t="shared" si="193"/>
        <v>11.14</v>
      </c>
      <c r="S227">
        <f t="shared" si="194"/>
        <v>2165.09</v>
      </c>
      <c r="T227">
        <f t="shared" si="195"/>
        <v>0</v>
      </c>
      <c r="U227">
        <f t="shared" si="196"/>
        <v>5.9740200000000003</v>
      </c>
      <c r="V227">
        <f t="shared" si="197"/>
        <v>0</v>
      </c>
      <c r="W227">
        <f t="shared" si="198"/>
        <v>0</v>
      </c>
      <c r="X227">
        <f t="shared" si="199"/>
        <v>1883.63</v>
      </c>
      <c r="Y227">
        <f t="shared" si="200"/>
        <v>887.69</v>
      </c>
      <c r="AA227">
        <v>53860087</v>
      </c>
      <c r="AB227">
        <f t="shared" si="201"/>
        <v>294.51350000000002</v>
      </c>
      <c r="AC227">
        <f t="shared" si="223"/>
        <v>196.67</v>
      </c>
      <c r="AD227">
        <f>ROUND(((((ET227*1.25))-((EU227*1.25)))+AE227),6)</f>
        <v>5.625</v>
      </c>
      <c r="AE227">
        <f>ROUND(((EU227*1.25)),6)</f>
        <v>0.47499999999999998</v>
      </c>
      <c r="AF227">
        <f>ROUND(((EV227*1.15)),6)</f>
        <v>92.218500000000006</v>
      </c>
      <c r="AG227">
        <f t="shared" si="202"/>
        <v>0</v>
      </c>
      <c r="AH227">
        <f>((EW227*1.15))</f>
        <v>7.6589999999999998</v>
      </c>
      <c r="AI227">
        <f>((EX227*1.25))</f>
        <v>0</v>
      </c>
      <c r="AJ227">
        <f t="shared" si="203"/>
        <v>0</v>
      </c>
      <c r="AK227">
        <v>281.36</v>
      </c>
      <c r="AL227">
        <v>196.67</v>
      </c>
      <c r="AM227">
        <v>4.5</v>
      </c>
      <c r="AN227">
        <v>0.38</v>
      </c>
      <c r="AO227">
        <v>80.19</v>
      </c>
      <c r="AP227">
        <v>0</v>
      </c>
      <c r="AQ227">
        <v>6.66</v>
      </c>
      <c r="AR227">
        <v>0</v>
      </c>
      <c r="AS227">
        <v>0</v>
      </c>
      <c r="AT227">
        <v>87</v>
      </c>
      <c r="AU227">
        <v>41</v>
      </c>
      <c r="AV227">
        <v>1</v>
      </c>
      <c r="AW227">
        <v>1</v>
      </c>
      <c r="AZ227">
        <v>1</v>
      </c>
      <c r="BA227">
        <v>30.1</v>
      </c>
      <c r="BB227">
        <v>10.48</v>
      </c>
      <c r="BC227">
        <v>2.23</v>
      </c>
      <c r="BD227" t="s">
        <v>3</v>
      </c>
      <c r="BE227" t="s">
        <v>3</v>
      </c>
      <c r="BF227" t="s">
        <v>3</v>
      </c>
      <c r="BG227" t="s">
        <v>3</v>
      </c>
      <c r="BH227">
        <v>0</v>
      </c>
      <c r="BI227">
        <v>1</v>
      </c>
      <c r="BJ227" t="s">
        <v>506</v>
      </c>
      <c r="BM227">
        <v>1974</v>
      </c>
      <c r="BN227">
        <v>36862081</v>
      </c>
      <c r="BO227" t="s">
        <v>504</v>
      </c>
      <c r="BP227">
        <v>1</v>
      </c>
      <c r="BQ227">
        <v>30</v>
      </c>
      <c r="BR227">
        <v>0</v>
      </c>
      <c r="BS227">
        <v>30.1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87</v>
      </c>
      <c r="CA227">
        <v>41</v>
      </c>
      <c r="CB227" t="s">
        <v>3</v>
      </c>
      <c r="CE227">
        <v>30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 t="shared" si="204"/>
        <v>2553.1800000000003</v>
      </c>
      <c r="CQ227">
        <f t="shared" si="205"/>
        <v>438.57</v>
      </c>
      <c r="CR227">
        <f>(ROUND((ROUND((((ET227*1.25))*AV227*1),2)*BB227),2)+ROUND((ROUND(((AE227-((EU227*1.25)))*AV227*1),2)*BS227),2))</f>
        <v>59</v>
      </c>
      <c r="CS227">
        <f t="shared" si="206"/>
        <v>14.45</v>
      </c>
      <c r="CT227">
        <f t="shared" si="207"/>
        <v>2775.82</v>
      </c>
      <c r="CU227">
        <f t="shared" si="208"/>
        <v>0</v>
      </c>
      <c r="CV227">
        <f t="shared" si="209"/>
        <v>7.6589999999999998</v>
      </c>
      <c r="CW227">
        <f t="shared" si="210"/>
        <v>0</v>
      </c>
      <c r="CX227">
        <f t="shared" si="211"/>
        <v>0</v>
      </c>
      <c r="CY227">
        <f t="shared" si="212"/>
        <v>1883.6283000000001</v>
      </c>
      <c r="CZ227">
        <f t="shared" si="213"/>
        <v>887.68690000000004</v>
      </c>
      <c r="DC227" t="s">
        <v>3</v>
      </c>
      <c r="DD227" t="s">
        <v>3</v>
      </c>
      <c r="DE227" t="s">
        <v>51</v>
      </c>
      <c r="DF227" t="s">
        <v>51</v>
      </c>
      <c r="DG227" t="s">
        <v>52</v>
      </c>
      <c r="DH227" t="s">
        <v>3</v>
      </c>
      <c r="DI227" t="s">
        <v>52</v>
      </c>
      <c r="DJ227" t="s">
        <v>51</v>
      </c>
      <c r="DK227" t="s">
        <v>3</v>
      </c>
      <c r="DL227" t="s">
        <v>3</v>
      </c>
      <c r="DM227" t="s">
        <v>3</v>
      </c>
      <c r="DN227">
        <v>104</v>
      </c>
      <c r="DO227">
        <v>70</v>
      </c>
      <c r="DP227">
        <v>1</v>
      </c>
      <c r="DQ227">
        <v>1</v>
      </c>
      <c r="DU227">
        <v>1013</v>
      </c>
      <c r="DV227" t="s">
        <v>384</v>
      </c>
      <c r="DW227" t="s">
        <v>384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53214724</v>
      </c>
      <c r="EF227">
        <v>30</v>
      </c>
      <c r="EG227" t="s">
        <v>37</v>
      </c>
      <c r="EH227">
        <v>0</v>
      </c>
      <c r="EI227" t="s">
        <v>3</v>
      </c>
      <c r="EJ227">
        <v>1</v>
      </c>
      <c r="EK227">
        <v>1974</v>
      </c>
      <c r="EL227" t="s">
        <v>507</v>
      </c>
      <c r="EM227" t="s">
        <v>508</v>
      </c>
      <c r="EO227" t="s">
        <v>3</v>
      </c>
      <c r="EQ227">
        <v>0</v>
      </c>
      <c r="ER227">
        <v>281.36</v>
      </c>
      <c r="ES227">
        <v>196.67</v>
      </c>
      <c r="ET227">
        <v>4.5</v>
      </c>
      <c r="EU227">
        <v>0.38</v>
      </c>
      <c r="EV227">
        <v>80.19</v>
      </c>
      <c r="EW227">
        <v>6.66</v>
      </c>
      <c r="EX227">
        <v>0</v>
      </c>
      <c r="EY227">
        <v>0</v>
      </c>
      <c r="FQ227">
        <v>0</v>
      </c>
      <c r="FR227">
        <f t="shared" si="214"/>
        <v>0</v>
      </c>
      <c r="FS227">
        <v>0</v>
      </c>
      <c r="FX227">
        <v>104</v>
      </c>
      <c r="FY227">
        <v>70</v>
      </c>
      <c r="GA227" t="s">
        <v>3</v>
      </c>
      <c r="GD227">
        <v>0</v>
      </c>
      <c r="GF227">
        <v>1497263788</v>
      </c>
      <c r="GG227">
        <v>2</v>
      </c>
      <c r="GH227">
        <v>1</v>
      </c>
      <c r="GI227">
        <v>2</v>
      </c>
      <c r="GJ227">
        <v>0</v>
      </c>
      <c r="GK227">
        <f>ROUND(R227*(R12)/100,2)</f>
        <v>17.82</v>
      </c>
      <c r="GL227">
        <f t="shared" si="215"/>
        <v>0</v>
      </c>
      <c r="GM227">
        <f t="shared" si="216"/>
        <v>5342.32</v>
      </c>
      <c r="GN227">
        <f t="shared" si="217"/>
        <v>5342.32</v>
      </c>
      <c r="GO227">
        <f t="shared" si="218"/>
        <v>0</v>
      </c>
      <c r="GP227">
        <f t="shared" si="219"/>
        <v>0</v>
      </c>
      <c r="GR227">
        <v>0</v>
      </c>
      <c r="GS227">
        <v>3</v>
      </c>
      <c r="GT227">
        <v>0</v>
      </c>
      <c r="GU227" t="s">
        <v>3</v>
      </c>
      <c r="GV227">
        <f t="shared" si="220"/>
        <v>0</v>
      </c>
      <c r="GW227">
        <v>1</v>
      </c>
      <c r="GX227">
        <f t="shared" si="221"/>
        <v>0</v>
      </c>
      <c r="HA227">
        <v>0</v>
      </c>
      <c r="HB227">
        <v>0</v>
      </c>
      <c r="HC227">
        <f t="shared" si="222"/>
        <v>0</v>
      </c>
      <c r="HE227" t="s">
        <v>3</v>
      </c>
      <c r="HF227" t="s">
        <v>3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8" spans="1:245" x14ac:dyDescent="0.2">
      <c r="A228">
        <v>18</v>
      </c>
      <c r="B228">
        <v>1</v>
      </c>
      <c r="C228">
        <v>262</v>
      </c>
      <c r="E228" t="s">
        <v>509</v>
      </c>
      <c r="F228" t="s">
        <v>510</v>
      </c>
      <c r="G228" t="s">
        <v>511</v>
      </c>
      <c r="H228" t="s">
        <v>125</v>
      </c>
      <c r="I228">
        <f>I227*J228</f>
        <v>78.78</v>
      </c>
      <c r="J228">
        <v>101</v>
      </c>
      <c r="K228">
        <v>101</v>
      </c>
      <c r="O228">
        <f t="shared" si="191"/>
        <v>2953</v>
      </c>
      <c r="P228">
        <f t="shared" si="192"/>
        <v>2953</v>
      </c>
      <c r="Q228">
        <f>(ROUND((ROUND(((ET228)*AV228*I228),2)*BB228),2)+ROUND((ROUND(((AE228-(EU228))*AV228*I228),2)*BS228),2))</f>
        <v>0</v>
      </c>
      <c r="R228">
        <f t="shared" si="193"/>
        <v>0</v>
      </c>
      <c r="S228">
        <f t="shared" si="194"/>
        <v>0</v>
      </c>
      <c r="T228">
        <f t="shared" si="195"/>
        <v>0</v>
      </c>
      <c r="U228">
        <f t="shared" si="196"/>
        <v>0</v>
      </c>
      <c r="V228">
        <f t="shared" si="197"/>
        <v>0</v>
      </c>
      <c r="W228">
        <f t="shared" si="198"/>
        <v>0</v>
      </c>
      <c r="X228">
        <f t="shared" si="199"/>
        <v>0</v>
      </c>
      <c r="Y228">
        <f t="shared" si="200"/>
        <v>0</v>
      </c>
      <c r="AA228">
        <v>53860087</v>
      </c>
      <c r="AB228">
        <f t="shared" si="201"/>
        <v>22.18</v>
      </c>
      <c r="AC228">
        <f t="shared" si="223"/>
        <v>22.18</v>
      </c>
      <c r="AD228">
        <f>ROUND((((ET228)-(EU228))+AE228),6)</f>
        <v>0</v>
      </c>
      <c r="AE228">
        <f>ROUND((EU228),6)</f>
        <v>0</v>
      </c>
      <c r="AF228">
        <f>ROUND((EV228),6)</f>
        <v>0</v>
      </c>
      <c r="AG228">
        <f t="shared" si="202"/>
        <v>0</v>
      </c>
      <c r="AH228">
        <f>(EW228)</f>
        <v>0</v>
      </c>
      <c r="AI228">
        <f>(EX228)</f>
        <v>0</v>
      </c>
      <c r="AJ228">
        <f t="shared" si="203"/>
        <v>0</v>
      </c>
      <c r="AK228">
        <v>22.18</v>
      </c>
      <c r="AL228">
        <v>22.18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1.69</v>
      </c>
      <c r="BD228" t="s">
        <v>3</v>
      </c>
      <c r="BE228" t="s">
        <v>3</v>
      </c>
      <c r="BF228" t="s">
        <v>3</v>
      </c>
      <c r="BG228" t="s">
        <v>3</v>
      </c>
      <c r="BH228">
        <v>3</v>
      </c>
      <c r="BI228">
        <v>1</v>
      </c>
      <c r="BJ228" t="s">
        <v>512</v>
      </c>
      <c r="BM228">
        <v>1974</v>
      </c>
      <c r="BN228">
        <v>36862081</v>
      </c>
      <c r="BO228" t="s">
        <v>510</v>
      </c>
      <c r="BP228">
        <v>1</v>
      </c>
      <c r="BQ228">
        <v>30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3</v>
      </c>
      <c r="BZ228">
        <v>0</v>
      </c>
      <c r="CA228">
        <v>0</v>
      </c>
      <c r="CB228" t="s">
        <v>3</v>
      </c>
      <c r="CE228">
        <v>30</v>
      </c>
      <c r="CF228">
        <v>0</v>
      </c>
      <c r="CG228">
        <v>0</v>
      </c>
      <c r="CM228">
        <v>0</v>
      </c>
      <c r="CN228" t="s">
        <v>3</v>
      </c>
      <c r="CO228">
        <v>0</v>
      </c>
      <c r="CP228">
        <f t="shared" si="204"/>
        <v>2953</v>
      </c>
      <c r="CQ228">
        <f t="shared" si="205"/>
        <v>37.479999999999997</v>
      </c>
      <c r="CR228">
        <f>(ROUND((ROUND(((ET228)*AV228*1),2)*BB228),2)+ROUND((ROUND(((AE228-(EU228))*AV228*1),2)*BS228),2))</f>
        <v>0</v>
      </c>
      <c r="CS228">
        <f t="shared" si="206"/>
        <v>0</v>
      </c>
      <c r="CT228">
        <f t="shared" si="207"/>
        <v>0</v>
      </c>
      <c r="CU228">
        <f t="shared" si="208"/>
        <v>0</v>
      </c>
      <c r="CV228">
        <f t="shared" si="209"/>
        <v>0</v>
      </c>
      <c r="CW228">
        <f t="shared" si="210"/>
        <v>0</v>
      </c>
      <c r="CX228">
        <f t="shared" si="211"/>
        <v>0</v>
      </c>
      <c r="CY228">
        <f t="shared" si="212"/>
        <v>0</v>
      </c>
      <c r="CZ228">
        <f t="shared" si="213"/>
        <v>0</v>
      </c>
      <c r="DC228" t="s">
        <v>3</v>
      </c>
      <c r="DD228" t="s">
        <v>3</v>
      </c>
      <c r="DE228" t="s">
        <v>3</v>
      </c>
      <c r="DF228" t="s">
        <v>3</v>
      </c>
      <c r="DG228" t="s">
        <v>3</v>
      </c>
      <c r="DH228" t="s">
        <v>3</v>
      </c>
      <c r="DI228" t="s">
        <v>3</v>
      </c>
      <c r="DJ228" t="s">
        <v>3</v>
      </c>
      <c r="DK228" t="s">
        <v>3</v>
      </c>
      <c r="DL228" t="s">
        <v>3</v>
      </c>
      <c r="DM228" t="s">
        <v>3</v>
      </c>
      <c r="DN228">
        <v>104</v>
      </c>
      <c r="DO228">
        <v>70</v>
      </c>
      <c r="DP228">
        <v>1</v>
      </c>
      <c r="DQ228">
        <v>1</v>
      </c>
      <c r="DU228">
        <v>1003</v>
      </c>
      <c r="DV228" t="s">
        <v>125</v>
      </c>
      <c r="DW228" t="s">
        <v>125</v>
      </c>
      <c r="DX228">
        <v>1</v>
      </c>
      <c r="DZ228" t="s">
        <v>3</v>
      </c>
      <c r="EA228" t="s">
        <v>3</v>
      </c>
      <c r="EB228" t="s">
        <v>3</v>
      </c>
      <c r="EC228" t="s">
        <v>3</v>
      </c>
      <c r="EE228">
        <v>53214724</v>
      </c>
      <c r="EF228">
        <v>30</v>
      </c>
      <c r="EG228" t="s">
        <v>37</v>
      </c>
      <c r="EH228">
        <v>0</v>
      </c>
      <c r="EI228" t="s">
        <v>3</v>
      </c>
      <c r="EJ228">
        <v>1</v>
      </c>
      <c r="EK228">
        <v>1974</v>
      </c>
      <c r="EL228" t="s">
        <v>507</v>
      </c>
      <c r="EM228" t="s">
        <v>508</v>
      </c>
      <c r="EO228" t="s">
        <v>3</v>
      </c>
      <c r="EQ228">
        <v>0</v>
      </c>
      <c r="ER228">
        <v>22.18</v>
      </c>
      <c r="ES228">
        <v>22.18</v>
      </c>
      <c r="ET228">
        <v>0</v>
      </c>
      <c r="EU228">
        <v>0</v>
      </c>
      <c r="EV228">
        <v>0</v>
      </c>
      <c r="EW228">
        <v>0</v>
      </c>
      <c r="EX228">
        <v>0</v>
      </c>
      <c r="FQ228">
        <v>0</v>
      </c>
      <c r="FR228">
        <f t="shared" si="214"/>
        <v>0</v>
      </c>
      <c r="FS228">
        <v>0</v>
      </c>
      <c r="FX228">
        <v>104</v>
      </c>
      <c r="FY228">
        <v>70</v>
      </c>
      <c r="GA228" t="s">
        <v>3</v>
      </c>
      <c r="GD228">
        <v>0</v>
      </c>
      <c r="GF228">
        <v>-246939821</v>
      </c>
      <c r="GG228">
        <v>2</v>
      </c>
      <c r="GH228">
        <v>1</v>
      </c>
      <c r="GI228">
        <v>2</v>
      </c>
      <c r="GJ228">
        <v>0</v>
      </c>
      <c r="GK228">
        <f>ROUND(R228*(R12)/100,2)</f>
        <v>0</v>
      </c>
      <c r="GL228">
        <f t="shared" si="215"/>
        <v>0</v>
      </c>
      <c r="GM228">
        <f t="shared" si="216"/>
        <v>2953</v>
      </c>
      <c r="GN228">
        <f t="shared" si="217"/>
        <v>2953</v>
      </c>
      <c r="GO228">
        <f t="shared" si="218"/>
        <v>0</v>
      </c>
      <c r="GP228">
        <f t="shared" si="219"/>
        <v>0</v>
      </c>
      <c r="GR228">
        <v>0</v>
      </c>
      <c r="GS228">
        <v>3</v>
      </c>
      <c r="GT228">
        <v>0</v>
      </c>
      <c r="GU228" t="s">
        <v>3</v>
      </c>
      <c r="GV228">
        <f t="shared" si="220"/>
        <v>0</v>
      </c>
      <c r="GW228">
        <v>1</v>
      </c>
      <c r="GX228">
        <f t="shared" si="221"/>
        <v>0</v>
      </c>
      <c r="HA228">
        <v>0</v>
      </c>
      <c r="HB228">
        <v>0</v>
      </c>
      <c r="HC228">
        <f t="shared" si="222"/>
        <v>0</v>
      </c>
      <c r="HE228" t="s">
        <v>3</v>
      </c>
      <c r="HF228" t="s">
        <v>3</v>
      </c>
      <c r="HM228" t="s">
        <v>3</v>
      </c>
      <c r="HN228" t="s">
        <v>3</v>
      </c>
      <c r="HO228" t="s">
        <v>3</v>
      </c>
      <c r="HP228" t="s">
        <v>3</v>
      </c>
      <c r="HQ228" t="s">
        <v>3</v>
      </c>
      <c r="IK228">
        <v>0</v>
      </c>
    </row>
    <row r="229" spans="1:245" x14ac:dyDescent="0.2">
      <c r="A229">
        <v>17</v>
      </c>
      <c r="B229">
        <v>1</v>
      </c>
      <c r="C229">
        <f>ROW(SmtRes!A271)</f>
        <v>271</v>
      </c>
      <c r="D229">
        <f>ROW(EtalonRes!A384)</f>
        <v>384</v>
      </c>
      <c r="E229" t="s">
        <v>513</v>
      </c>
      <c r="F229" t="s">
        <v>514</v>
      </c>
      <c r="G229" t="s">
        <v>515</v>
      </c>
      <c r="H229" t="s">
        <v>150</v>
      </c>
      <c r="I229">
        <f>ROUND(2/100,9)</f>
        <v>0.02</v>
      </c>
      <c r="J229">
        <v>0</v>
      </c>
      <c r="K229">
        <f>ROUND(2/100,9)</f>
        <v>0.02</v>
      </c>
      <c r="O229">
        <f t="shared" si="191"/>
        <v>136.41</v>
      </c>
      <c r="P229">
        <f t="shared" si="192"/>
        <v>3.32</v>
      </c>
      <c r="Q229">
        <f>(ROUND((ROUND((((ET229*1.25))*AV229*I229),2)*BB229),2)+ROUND((ROUND(((AE229-((EU229*1.25)))*AV229*I229),2)*BS229),2))</f>
        <v>1.85</v>
      </c>
      <c r="R229">
        <f t="shared" si="193"/>
        <v>0.3</v>
      </c>
      <c r="S229">
        <f t="shared" si="194"/>
        <v>131.24</v>
      </c>
      <c r="T229">
        <f t="shared" si="195"/>
        <v>0</v>
      </c>
      <c r="U229">
        <f t="shared" si="196"/>
        <v>0.38272</v>
      </c>
      <c r="V229">
        <f t="shared" si="197"/>
        <v>0</v>
      </c>
      <c r="W229">
        <f t="shared" si="198"/>
        <v>0</v>
      </c>
      <c r="X229">
        <f t="shared" si="199"/>
        <v>114.18</v>
      </c>
      <c r="Y229">
        <f t="shared" si="200"/>
        <v>53.81</v>
      </c>
      <c r="AA229">
        <v>53860087</v>
      </c>
      <c r="AB229">
        <f t="shared" si="201"/>
        <v>273.0095</v>
      </c>
      <c r="AC229">
        <f t="shared" si="223"/>
        <v>45.26</v>
      </c>
      <c r="AD229">
        <f>ROUND(((((ET229*1.25))-((EU229*1.25)))+AE229),6)</f>
        <v>9.9625000000000004</v>
      </c>
      <c r="AE229">
        <f>ROUND(((EU229*1.25)),6)</f>
        <v>0.3125</v>
      </c>
      <c r="AF229">
        <f>ROUND(((EV229*1.15)),6)</f>
        <v>217.78700000000001</v>
      </c>
      <c r="AG229">
        <f t="shared" si="202"/>
        <v>0</v>
      </c>
      <c r="AH229">
        <f>((EW229*1.15))</f>
        <v>19.135999999999999</v>
      </c>
      <c r="AI229">
        <f>((EX229*1.25))</f>
        <v>0</v>
      </c>
      <c r="AJ229">
        <f t="shared" si="203"/>
        <v>0</v>
      </c>
      <c r="AK229">
        <v>242.61</v>
      </c>
      <c r="AL229">
        <v>45.26</v>
      </c>
      <c r="AM229">
        <v>7.97</v>
      </c>
      <c r="AN229">
        <v>0.25</v>
      </c>
      <c r="AO229">
        <v>189.38</v>
      </c>
      <c r="AP229">
        <v>0</v>
      </c>
      <c r="AQ229">
        <v>16.64</v>
      </c>
      <c r="AR229">
        <v>0</v>
      </c>
      <c r="AS229">
        <v>0</v>
      </c>
      <c r="AT229">
        <v>87</v>
      </c>
      <c r="AU229">
        <v>41</v>
      </c>
      <c r="AV229">
        <v>1</v>
      </c>
      <c r="AW229">
        <v>1</v>
      </c>
      <c r="AZ229">
        <v>1</v>
      </c>
      <c r="BA229">
        <v>30.1</v>
      </c>
      <c r="BB229">
        <v>9.24</v>
      </c>
      <c r="BC229">
        <v>3.65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1</v>
      </c>
      <c r="BJ229" t="s">
        <v>516</v>
      </c>
      <c r="BM229">
        <v>94</v>
      </c>
      <c r="BN229">
        <v>36862081</v>
      </c>
      <c r="BO229" t="s">
        <v>514</v>
      </c>
      <c r="BP229">
        <v>1</v>
      </c>
      <c r="BQ229">
        <v>30</v>
      </c>
      <c r="BR229">
        <v>0</v>
      </c>
      <c r="BS229">
        <v>30.1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87</v>
      </c>
      <c r="CA229">
        <v>41</v>
      </c>
      <c r="CB229" t="s">
        <v>3</v>
      </c>
      <c r="CE229">
        <v>30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 t="shared" si="204"/>
        <v>136.41</v>
      </c>
      <c r="CQ229">
        <f t="shared" si="205"/>
        <v>165.2</v>
      </c>
      <c r="CR229">
        <f>(ROUND((ROUND((((ET229*1.25))*AV229*1),2)*BB229),2)+ROUND((ROUND(((AE229-((EU229*1.25)))*AV229*1),2)*BS229),2))</f>
        <v>92.03</v>
      </c>
      <c r="CS229">
        <f t="shared" si="206"/>
        <v>9.33</v>
      </c>
      <c r="CT229">
        <f t="shared" si="207"/>
        <v>6555.48</v>
      </c>
      <c r="CU229">
        <f t="shared" si="208"/>
        <v>0</v>
      </c>
      <c r="CV229">
        <f t="shared" si="209"/>
        <v>19.135999999999999</v>
      </c>
      <c r="CW229">
        <f t="shared" si="210"/>
        <v>0</v>
      </c>
      <c r="CX229">
        <f t="shared" si="211"/>
        <v>0</v>
      </c>
      <c r="CY229">
        <f t="shared" si="212"/>
        <v>114.17880000000001</v>
      </c>
      <c r="CZ229">
        <f t="shared" si="213"/>
        <v>53.808399999999999</v>
      </c>
      <c r="DC229" t="s">
        <v>3</v>
      </c>
      <c r="DD229" t="s">
        <v>3</v>
      </c>
      <c r="DE229" t="s">
        <v>51</v>
      </c>
      <c r="DF229" t="s">
        <v>51</v>
      </c>
      <c r="DG229" t="s">
        <v>52</v>
      </c>
      <c r="DH229" t="s">
        <v>3</v>
      </c>
      <c r="DI229" t="s">
        <v>52</v>
      </c>
      <c r="DJ229" t="s">
        <v>51</v>
      </c>
      <c r="DK229" t="s">
        <v>3</v>
      </c>
      <c r="DL229" t="s">
        <v>3</v>
      </c>
      <c r="DM229" t="s">
        <v>3</v>
      </c>
      <c r="DN229">
        <v>104</v>
      </c>
      <c r="DO229">
        <v>70</v>
      </c>
      <c r="DP229">
        <v>1</v>
      </c>
      <c r="DQ229">
        <v>1</v>
      </c>
      <c r="DU229">
        <v>1003</v>
      </c>
      <c r="DV229" t="s">
        <v>150</v>
      </c>
      <c r="DW229" t="s">
        <v>150</v>
      </c>
      <c r="DX229">
        <v>100</v>
      </c>
      <c r="DZ229" t="s">
        <v>3</v>
      </c>
      <c r="EA229" t="s">
        <v>3</v>
      </c>
      <c r="EB229" t="s">
        <v>3</v>
      </c>
      <c r="EC229" t="s">
        <v>3</v>
      </c>
      <c r="EE229">
        <v>53212843</v>
      </c>
      <c r="EF229">
        <v>30</v>
      </c>
      <c r="EG229" t="s">
        <v>37</v>
      </c>
      <c r="EH229">
        <v>0</v>
      </c>
      <c r="EI229" t="s">
        <v>3</v>
      </c>
      <c r="EJ229">
        <v>1</v>
      </c>
      <c r="EK229">
        <v>94</v>
      </c>
      <c r="EL229" t="s">
        <v>517</v>
      </c>
      <c r="EM229" t="s">
        <v>518</v>
      </c>
      <c r="EO229" t="s">
        <v>3</v>
      </c>
      <c r="EQ229">
        <v>0</v>
      </c>
      <c r="ER229">
        <v>242.61</v>
      </c>
      <c r="ES229">
        <v>45.26</v>
      </c>
      <c r="ET229">
        <v>7.97</v>
      </c>
      <c r="EU229">
        <v>0.25</v>
      </c>
      <c r="EV229">
        <v>189.38</v>
      </c>
      <c r="EW229">
        <v>16.64</v>
      </c>
      <c r="EX229">
        <v>0</v>
      </c>
      <c r="EY229">
        <v>0</v>
      </c>
      <c r="FQ229">
        <v>0</v>
      </c>
      <c r="FR229">
        <f t="shared" si="214"/>
        <v>0</v>
      </c>
      <c r="FS229">
        <v>0</v>
      </c>
      <c r="FX229">
        <v>104</v>
      </c>
      <c r="FY229">
        <v>70</v>
      </c>
      <c r="GA229" t="s">
        <v>3</v>
      </c>
      <c r="GD229">
        <v>0</v>
      </c>
      <c r="GF229">
        <v>-634982594</v>
      </c>
      <c r="GG229">
        <v>2</v>
      </c>
      <c r="GH229">
        <v>1</v>
      </c>
      <c r="GI229">
        <v>2</v>
      </c>
      <c r="GJ229">
        <v>0</v>
      </c>
      <c r="GK229">
        <f>ROUND(R229*(R12)/100,2)</f>
        <v>0.48</v>
      </c>
      <c r="GL229">
        <f t="shared" si="215"/>
        <v>0</v>
      </c>
      <c r="GM229">
        <f t="shared" si="216"/>
        <v>304.88</v>
      </c>
      <c r="GN229">
        <f t="shared" si="217"/>
        <v>304.88</v>
      </c>
      <c r="GO229">
        <f t="shared" si="218"/>
        <v>0</v>
      </c>
      <c r="GP229">
        <f t="shared" si="219"/>
        <v>0</v>
      </c>
      <c r="GR229">
        <v>0</v>
      </c>
      <c r="GS229">
        <v>3</v>
      </c>
      <c r="GT229">
        <v>0</v>
      </c>
      <c r="GU229" t="s">
        <v>3</v>
      </c>
      <c r="GV229">
        <f t="shared" si="220"/>
        <v>0</v>
      </c>
      <c r="GW229">
        <v>1</v>
      </c>
      <c r="GX229">
        <f t="shared" si="221"/>
        <v>0</v>
      </c>
      <c r="HA229">
        <v>0</v>
      </c>
      <c r="HB229">
        <v>0</v>
      </c>
      <c r="HC229">
        <f t="shared" si="222"/>
        <v>0</v>
      </c>
      <c r="HE229" t="s">
        <v>3</v>
      </c>
      <c r="HF229" t="s">
        <v>3</v>
      </c>
      <c r="HM229" t="s">
        <v>3</v>
      </c>
      <c r="HN229" t="s">
        <v>3</v>
      </c>
      <c r="HO229" t="s">
        <v>3</v>
      </c>
      <c r="HP229" t="s">
        <v>3</v>
      </c>
      <c r="HQ229" t="s">
        <v>3</v>
      </c>
      <c r="IK229">
        <v>0</v>
      </c>
    </row>
    <row r="230" spans="1:245" x14ac:dyDescent="0.2">
      <c r="A230">
        <v>18</v>
      </c>
      <c r="B230">
        <v>1</v>
      </c>
      <c r="C230">
        <v>271</v>
      </c>
      <c r="E230" t="s">
        <v>519</v>
      </c>
      <c r="F230" t="s">
        <v>520</v>
      </c>
      <c r="G230" t="s">
        <v>521</v>
      </c>
      <c r="H230" t="s">
        <v>125</v>
      </c>
      <c r="I230">
        <f>I229*J230</f>
        <v>2.1</v>
      </c>
      <c r="J230">
        <v>105</v>
      </c>
      <c r="K230">
        <v>105</v>
      </c>
      <c r="O230">
        <f t="shared" si="191"/>
        <v>277.76</v>
      </c>
      <c r="P230">
        <f t="shared" si="192"/>
        <v>277.76</v>
      </c>
      <c r="Q230">
        <f>(ROUND((ROUND(((ET230)*AV230*I230),2)*BB230),2)+ROUND((ROUND(((AE230-(EU230))*AV230*I230),2)*BS230),2))</f>
        <v>0</v>
      </c>
      <c r="R230">
        <f t="shared" si="193"/>
        <v>0</v>
      </c>
      <c r="S230">
        <f t="shared" si="194"/>
        <v>0</v>
      </c>
      <c r="T230">
        <f t="shared" si="195"/>
        <v>0</v>
      </c>
      <c r="U230">
        <f t="shared" si="196"/>
        <v>0</v>
      </c>
      <c r="V230">
        <f t="shared" si="197"/>
        <v>0</v>
      </c>
      <c r="W230">
        <f t="shared" si="198"/>
        <v>0</v>
      </c>
      <c r="X230">
        <f t="shared" si="199"/>
        <v>0</v>
      </c>
      <c r="Y230">
        <f t="shared" si="200"/>
        <v>0</v>
      </c>
      <c r="AA230">
        <v>53860087</v>
      </c>
      <c r="AB230">
        <f t="shared" si="201"/>
        <v>16.07</v>
      </c>
      <c r="AC230">
        <f t="shared" si="223"/>
        <v>16.07</v>
      </c>
      <c r="AD230">
        <f>ROUND((((ET230)-(EU230))+AE230),6)</f>
        <v>0</v>
      </c>
      <c r="AE230">
        <f>ROUND((EU230),6)</f>
        <v>0</v>
      </c>
      <c r="AF230">
        <f>ROUND((EV230),6)</f>
        <v>0</v>
      </c>
      <c r="AG230">
        <f t="shared" si="202"/>
        <v>0</v>
      </c>
      <c r="AH230">
        <f>(EW230)</f>
        <v>0</v>
      </c>
      <c r="AI230">
        <f>(EX230)</f>
        <v>0</v>
      </c>
      <c r="AJ230">
        <f t="shared" si="203"/>
        <v>0</v>
      </c>
      <c r="AK230">
        <v>16.07</v>
      </c>
      <c r="AL230">
        <v>16.07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1</v>
      </c>
      <c r="AW230">
        <v>1</v>
      </c>
      <c r="AZ230">
        <v>1</v>
      </c>
      <c r="BA230">
        <v>1</v>
      </c>
      <c r="BB230">
        <v>1</v>
      </c>
      <c r="BC230">
        <v>8.23</v>
      </c>
      <c r="BD230" t="s">
        <v>3</v>
      </c>
      <c r="BE230" t="s">
        <v>3</v>
      </c>
      <c r="BF230" t="s">
        <v>3</v>
      </c>
      <c r="BG230" t="s">
        <v>3</v>
      </c>
      <c r="BH230">
        <v>3</v>
      </c>
      <c r="BI230">
        <v>1</v>
      </c>
      <c r="BJ230" t="s">
        <v>522</v>
      </c>
      <c r="BM230">
        <v>94</v>
      </c>
      <c r="BN230">
        <v>36862081</v>
      </c>
      <c r="BO230" t="s">
        <v>520</v>
      </c>
      <c r="BP230">
        <v>1</v>
      </c>
      <c r="BQ230">
        <v>30</v>
      </c>
      <c r="BR230">
        <v>0</v>
      </c>
      <c r="BS230">
        <v>1</v>
      </c>
      <c r="BT230">
        <v>1</v>
      </c>
      <c r="BU230">
        <v>1</v>
      </c>
      <c r="BV230">
        <v>1</v>
      </c>
      <c r="BW230">
        <v>1</v>
      </c>
      <c r="BX230">
        <v>1</v>
      </c>
      <c r="BY230" t="s">
        <v>3</v>
      </c>
      <c r="BZ230">
        <v>0</v>
      </c>
      <c r="CA230">
        <v>0</v>
      </c>
      <c r="CB230" t="s">
        <v>3</v>
      </c>
      <c r="CE230">
        <v>30</v>
      </c>
      <c r="CF230">
        <v>0</v>
      </c>
      <c r="CG230">
        <v>0</v>
      </c>
      <c r="CM230">
        <v>0</v>
      </c>
      <c r="CN230" t="s">
        <v>3</v>
      </c>
      <c r="CO230">
        <v>0</v>
      </c>
      <c r="CP230">
        <f t="shared" si="204"/>
        <v>277.76</v>
      </c>
      <c r="CQ230">
        <f t="shared" si="205"/>
        <v>132.26</v>
      </c>
      <c r="CR230">
        <f>(ROUND((ROUND(((ET230)*AV230*1),2)*BB230),2)+ROUND((ROUND(((AE230-(EU230))*AV230*1),2)*BS230),2))</f>
        <v>0</v>
      </c>
      <c r="CS230">
        <f t="shared" si="206"/>
        <v>0</v>
      </c>
      <c r="CT230">
        <f t="shared" si="207"/>
        <v>0</v>
      </c>
      <c r="CU230">
        <f t="shared" si="208"/>
        <v>0</v>
      </c>
      <c r="CV230">
        <f t="shared" si="209"/>
        <v>0</v>
      </c>
      <c r="CW230">
        <f t="shared" si="210"/>
        <v>0</v>
      </c>
      <c r="CX230">
        <f t="shared" si="211"/>
        <v>0</v>
      </c>
      <c r="CY230">
        <f t="shared" si="212"/>
        <v>0</v>
      </c>
      <c r="CZ230">
        <f t="shared" si="213"/>
        <v>0</v>
      </c>
      <c r="DC230" t="s">
        <v>3</v>
      </c>
      <c r="DD230" t="s">
        <v>3</v>
      </c>
      <c r="DE230" t="s">
        <v>3</v>
      </c>
      <c r="DF230" t="s">
        <v>3</v>
      </c>
      <c r="DG230" t="s">
        <v>3</v>
      </c>
      <c r="DH230" t="s">
        <v>3</v>
      </c>
      <c r="DI230" t="s">
        <v>3</v>
      </c>
      <c r="DJ230" t="s">
        <v>3</v>
      </c>
      <c r="DK230" t="s">
        <v>3</v>
      </c>
      <c r="DL230" t="s">
        <v>3</v>
      </c>
      <c r="DM230" t="s">
        <v>3</v>
      </c>
      <c r="DN230">
        <v>104</v>
      </c>
      <c r="DO230">
        <v>70</v>
      </c>
      <c r="DP230">
        <v>1</v>
      </c>
      <c r="DQ230">
        <v>1</v>
      </c>
      <c r="DU230">
        <v>1003</v>
      </c>
      <c r="DV230" t="s">
        <v>125</v>
      </c>
      <c r="DW230" t="s">
        <v>125</v>
      </c>
      <c r="DX230">
        <v>1</v>
      </c>
      <c r="DZ230" t="s">
        <v>3</v>
      </c>
      <c r="EA230" t="s">
        <v>3</v>
      </c>
      <c r="EB230" t="s">
        <v>3</v>
      </c>
      <c r="EC230" t="s">
        <v>3</v>
      </c>
      <c r="EE230">
        <v>53212843</v>
      </c>
      <c r="EF230">
        <v>30</v>
      </c>
      <c r="EG230" t="s">
        <v>37</v>
      </c>
      <c r="EH230">
        <v>0</v>
      </c>
      <c r="EI230" t="s">
        <v>3</v>
      </c>
      <c r="EJ230">
        <v>1</v>
      </c>
      <c r="EK230">
        <v>94</v>
      </c>
      <c r="EL230" t="s">
        <v>517</v>
      </c>
      <c r="EM230" t="s">
        <v>518</v>
      </c>
      <c r="EO230" t="s">
        <v>3</v>
      </c>
      <c r="EQ230">
        <v>0</v>
      </c>
      <c r="ER230">
        <v>16.07</v>
      </c>
      <c r="ES230">
        <v>16.07</v>
      </c>
      <c r="ET230">
        <v>0</v>
      </c>
      <c r="EU230">
        <v>0</v>
      </c>
      <c r="EV230">
        <v>0</v>
      </c>
      <c r="EW230">
        <v>0</v>
      </c>
      <c r="EX230">
        <v>0</v>
      </c>
      <c r="FQ230">
        <v>0</v>
      </c>
      <c r="FR230">
        <f t="shared" si="214"/>
        <v>0</v>
      </c>
      <c r="FS230">
        <v>0</v>
      </c>
      <c r="FX230">
        <v>104</v>
      </c>
      <c r="FY230">
        <v>70</v>
      </c>
      <c r="GA230" t="s">
        <v>3</v>
      </c>
      <c r="GD230">
        <v>0</v>
      </c>
      <c r="GF230">
        <v>2063727956</v>
      </c>
      <c r="GG230">
        <v>2</v>
      </c>
      <c r="GH230">
        <v>1</v>
      </c>
      <c r="GI230">
        <v>2</v>
      </c>
      <c r="GJ230">
        <v>0</v>
      </c>
      <c r="GK230">
        <f>ROUND(R230*(R12)/100,2)</f>
        <v>0</v>
      </c>
      <c r="GL230">
        <f t="shared" si="215"/>
        <v>0</v>
      </c>
      <c r="GM230">
        <f t="shared" si="216"/>
        <v>277.76</v>
      </c>
      <c r="GN230">
        <f t="shared" si="217"/>
        <v>277.76</v>
      </c>
      <c r="GO230">
        <f t="shared" si="218"/>
        <v>0</v>
      </c>
      <c r="GP230">
        <f t="shared" si="219"/>
        <v>0</v>
      </c>
      <c r="GR230">
        <v>0</v>
      </c>
      <c r="GS230">
        <v>3</v>
      </c>
      <c r="GT230">
        <v>0</v>
      </c>
      <c r="GU230" t="s">
        <v>3</v>
      </c>
      <c r="GV230">
        <f t="shared" si="220"/>
        <v>0</v>
      </c>
      <c r="GW230">
        <v>1</v>
      </c>
      <c r="GX230">
        <f t="shared" si="221"/>
        <v>0</v>
      </c>
      <c r="HA230">
        <v>0</v>
      </c>
      <c r="HB230">
        <v>0</v>
      </c>
      <c r="HC230">
        <f t="shared" si="222"/>
        <v>0</v>
      </c>
      <c r="HE230" t="s">
        <v>3</v>
      </c>
      <c r="HF230" t="s">
        <v>3</v>
      </c>
      <c r="HM230" t="s">
        <v>3</v>
      </c>
      <c r="HN230" t="s">
        <v>3</v>
      </c>
      <c r="HO230" t="s">
        <v>3</v>
      </c>
      <c r="HP230" t="s">
        <v>3</v>
      </c>
      <c r="HQ230" t="s">
        <v>3</v>
      </c>
      <c r="IK230">
        <v>0</v>
      </c>
    </row>
    <row r="232" spans="1:245" x14ac:dyDescent="0.2">
      <c r="A232" s="2">
        <v>51</v>
      </c>
      <c r="B232" s="2">
        <f>B188</f>
        <v>1</v>
      </c>
      <c r="C232" s="2">
        <f>A188</f>
        <v>4</v>
      </c>
      <c r="D232" s="2">
        <f>ROW(A188)</f>
        <v>188</v>
      </c>
      <c r="E232" s="2"/>
      <c r="F232" s="2" t="str">
        <f>IF(F188&lt;&gt;"",F188,"")</f>
        <v>Новый раздел</v>
      </c>
      <c r="G232" s="2" t="str">
        <f>IF(G188&lt;&gt;"",G188,"")</f>
        <v>Полы</v>
      </c>
      <c r="H232" s="2">
        <v>0</v>
      </c>
      <c r="I232" s="2"/>
      <c r="J232" s="2"/>
      <c r="K232" s="2"/>
      <c r="L232" s="2"/>
      <c r="M232" s="2"/>
      <c r="N232" s="2"/>
      <c r="O232" s="2">
        <f t="shared" ref="O232:T232" si="230">ROUND(AB232,2)</f>
        <v>614249.38</v>
      </c>
      <c r="P232" s="2">
        <f t="shared" si="230"/>
        <v>403570.11</v>
      </c>
      <c r="Q232" s="2">
        <f t="shared" si="230"/>
        <v>22605.46</v>
      </c>
      <c r="R232" s="2">
        <f t="shared" si="230"/>
        <v>12693.78</v>
      </c>
      <c r="S232" s="2">
        <f t="shared" si="230"/>
        <v>188073.81</v>
      </c>
      <c r="T232" s="2">
        <f t="shared" si="230"/>
        <v>0</v>
      </c>
      <c r="U232" s="2">
        <f>AH232</f>
        <v>546.54595999999992</v>
      </c>
      <c r="V232" s="2">
        <f>AI232</f>
        <v>0</v>
      </c>
      <c r="W232" s="2">
        <f>ROUND(AJ232,2)</f>
        <v>0</v>
      </c>
      <c r="X232" s="2">
        <f>ROUND(AK232,2)</f>
        <v>153604.89000000001</v>
      </c>
      <c r="Y232" s="2">
        <f>ROUND(AL232,2)</f>
        <v>77110.259999999995</v>
      </c>
      <c r="Z232" s="2"/>
      <c r="AA232" s="2"/>
      <c r="AB232" s="2">
        <f>ROUND(SUMIF(AA192:AA230,"=53860087",O192:O230),2)</f>
        <v>614249.38</v>
      </c>
      <c r="AC232" s="2">
        <f>ROUND(SUMIF(AA192:AA230,"=53860087",P192:P230),2)</f>
        <v>403570.11</v>
      </c>
      <c r="AD232" s="2">
        <f>ROUND(SUMIF(AA192:AA230,"=53860087",Q192:Q230),2)</f>
        <v>22605.46</v>
      </c>
      <c r="AE232" s="2">
        <f>ROUND(SUMIF(AA192:AA230,"=53860087",R192:R230),2)</f>
        <v>12693.78</v>
      </c>
      <c r="AF232" s="2">
        <f>ROUND(SUMIF(AA192:AA230,"=53860087",S192:S230),2)</f>
        <v>188073.81</v>
      </c>
      <c r="AG232" s="2">
        <f>ROUND(SUMIF(AA192:AA230,"=53860087",T192:T230),2)</f>
        <v>0</v>
      </c>
      <c r="AH232" s="2">
        <f>SUMIF(AA192:AA230,"=53860087",U192:U230)</f>
        <v>546.54595999999992</v>
      </c>
      <c r="AI232" s="2">
        <f>SUMIF(AA192:AA230,"=53860087",V192:V230)</f>
        <v>0</v>
      </c>
      <c r="AJ232" s="2">
        <f>ROUND(SUMIF(AA192:AA230,"=53860087",W192:W230),2)</f>
        <v>0</v>
      </c>
      <c r="AK232" s="2">
        <f>ROUND(SUMIF(AA192:AA230,"=53860087",X192:X230),2)</f>
        <v>153604.89000000001</v>
      </c>
      <c r="AL232" s="2">
        <f>ROUND(SUMIF(AA192:AA230,"=53860087",Y192:Y230),2)</f>
        <v>77110.259999999995</v>
      </c>
      <c r="AM232" s="2"/>
      <c r="AN232" s="2"/>
      <c r="AO232" s="2">
        <f t="shared" ref="AO232:BD232" si="231">ROUND(BX232,2)</f>
        <v>0</v>
      </c>
      <c r="AP232" s="2">
        <f t="shared" si="231"/>
        <v>0</v>
      </c>
      <c r="AQ232" s="2">
        <f t="shared" si="231"/>
        <v>0</v>
      </c>
      <c r="AR232" s="2">
        <f t="shared" si="231"/>
        <v>865274.57</v>
      </c>
      <c r="AS232" s="2">
        <f t="shared" si="231"/>
        <v>865274.57</v>
      </c>
      <c r="AT232" s="2">
        <f t="shared" si="231"/>
        <v>0</v>
      </c>
      <c r="AU232" s="2">
        <f t="shared" si="231"/>
        <v>0</v>
      </c>
      <c r="AV232" s="2">
        <f t="shared" si="231"/>
        <v>403570.11</v>
      </c>
      <c r="AW232" s="2">
        <f t="shared" si="231"/>
        <v>403570.11</v>
      </c>
      <c r="AX232" s="2">
        <f t="shared" si="231"/>
        <v>0</v>
      </c>
      <c r="AY232" s="2">
        <f t="shared" si="231"/>
        <v>403570.11</v>
      </c>
      <c r="AZ232" s="2">
        <f t="shared" si="231"/>
        <v>0</v>
      </c>
      <c r="BA232" s="2">
        <f t="shared" si="231"/>
        <v>0</v>
      </c>
      <c r="BB232" s="2">
        <f t="shared" si="231"/>
        <v>0</v>
      </c>
      <c r="BC232" s="2">
        <f t="shared" si="231"/>
        <v>0</v>
      </c>
      <c r="BD232" s="2">
        <f t="shared" si="231"/>
        <v>0</v>
      </c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>
        <f>ROUND(SUMIF(AA192:AA230,"=53860087",FQ192:FQ230),2)</f>
        <v>0</v>
      </c>
      <c r="BY232" s="2">
        <f>ROUND(SUMIF(AA192:AA230,"=53860087",FR192:FR230),2)</f>
        <v>0</v>
      </c>
      <c r="BZ232" s="2">
        <f>ROUND(SUMIF(AA192:AA230,"=53860087",GL192:GL230),2)</f>
        <v>0</v>
      </c>
      <c r="CA232" s="2">
        <f>ROUND(SUMIF(AA192:AA230,"=53860087",GM192:GM230),2)</f>
        <v>865274.57</v>
      </c>
      <c r="CB232" s="2">
        <f>ROUND(SUMIF(AA192:AA230,"=53860087",GN192:GN230),2)</f>
        <v>865274.57</v>
      </c>
      <c r="CC232" s="2">
        <f>ROUND(SUMIF(AA192:AA230,"=53860087",GO192:GO230),2)</f>
        <v>0</v>
      </c>
      <c r="CD232" s="2">
        <f>ROUND(SUMIF(AA192:AA230,"=53860087",GP192:GP230),2)</f>
        <v>0</v>
      </c>
      <c r="CE232" s="2">
        <f>AC232-BX232</f>
        <v>403570.11</v>
      </c>
      <c r="CF232" s="2">
        <f>AC232-BY232</f>
        <v>403570.11</v>
      </c>
      <c r="CG232" s="2">
        <f>BX232-BZ232</f>
        <v>0</v>
      </c>
      <c r="CH232" s="2">
        <f>AC232-BX232-BY232+BZ232</f>
        <v>403570.11</v>
      </c>
      <c r="CI232" s="2">
        <f>BY232-BZ232</f>
        <v>0</v>
      </c>
      <c r="CJ232" s="2">
        <f>ROUND(SUMIF(AA192:AA230,"=53860087",GX192:GX230),2)</f>
        <v>0</v>
      </c>
      <c r="CK232" s="2">
        <f>ROUND(SUMIF(AA192:AA230,"=53860087",GY192:GY230),2)</f>
        <v>0</v>
      </c>
      <c r="CL232" s="2">
        <f>ROUND(SUMIF(AA192:AA230,"=53860087",GZ192:GZ230),2)</f>
        <v>0</v>
      </c>
      <c r="CM232" s="2">
        <f>ROUND(SUMIF(AA192:AA230,"=53860087",HD192:HD230),2)</f>
        <v>0</v>
      </c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3"/>
      <c r="DH232" s="3"/>
      <c r="DI232" s="3"/>
      <c r="DJ232" s="3"/>
      <c r="DK232" s="3"/>
      <c r="DL232" s="3"/>
      <c r="DM232" s="3"/>
      <c r="DN232" s="3"/>
      <c r="DO232" s="3"/>
      <c r="DP232" s="3"/>
      <c r="DQ232" s="3"/>
      <c r="DR232" s="3"/>
      <c r="DS232" s="3"/>
      <c r="DT232" s="3"/>
      <c r="DU232" s="3"/>
      <c r="DV232" s="3"/>
      <c r="DW232" s="3"/>
      <c r="DX232" s="3"/>
      <c r="DY232" s="3"/>
      <c r="DZ232" s="3"/>
      <c r="EA232" s="3"/>
      <c r="EB232" s="3"/>
      <c r="EC232" s="3"/>
      <c r="ED232" s="3"/>
      <c r="EE232" s="3"/>
      <c r="EF232" s="3"/>
      <c r="EG232" s="3"/>
      <c r="EH232" s="3"/>
      <c r="EI232" s="3"/>
      <c r="EJ232" s="3"/>
      <c r="EK232" s="3"/>
      <c r="EL232" s="3"/>
      <c r="EM232" s="3"/>
      <c r="EN232" s="3"/>
      <c r="EO232" s="3"/>
      <c r="EP232" s="3"/>
      <c r="EQ232" s="3"/>
      <c r="ER232" s="3"/>
      <c r="ES232" s="3"/>
      <c r="ET232" s="3"/>
      <c r="EU232" s="3"/>
      <c r="EV232" s="3"/>
      <c r="EW232" s="3"/>
      <c r="EX232" s="3"/>
      <c r="EY232" s="3"/>
      <c r="EZ232" s="3"/>
      <c r="FA232" s="3"/>
      <c r="FB232" s="3"/>
      <c r="FC232" s="3"/>
      <c r="FD232" s="3"/>
      <c r="FE232" s="3"/>
      <c r="FF232" s="3"/>
      <c r="FG232" s="3"/>
      <c r="FH232" s="3"/>
      <c r="FI232" s="3"/>
      <c r="FJ232" s="3"/>
      <c r="FK232" s="3"/>
      <c r="FL232" s="3"/>
      <c r="FM232" s="3"/>
      <c r="FN232" s="3"/>
      <c r="FO232" s="3"/>
      <c r="FP232" s="3"/>
      <c r="FQ232" s="3"/>
      <c r="FR232" s="3"/>
      <c r="FS232" s="3"/>
      <c r="FT232" s="3"/>
      <c r="FU232" s="3"/>
      <c r="FV232" s="3"/>
      <c r="FW232" s="3"/>
      <c r="FX232" s="3"/>
      <c r="FY232" s="3"/>
      <c r="FZ232" s="3"/>
      <c r="GA232" s="3"/>
      <c r="GB232" s="3"/>
      <c r="GC232" s="3"/>
      <c r="GD232" s="3"/>
      <c r="GE232" s="3"/>
      <c r="GF232" s="3"/>
      <c r="GG232" s="3"/>
      <c r="GH232" s="3"/>
      <c r="GI232" s="3"/>
      <c r="GJ232" s="3"/>
      <c r="GK232" s="3"/>
      <c r="GL232" s="3"/>
      <c r="GM232" s="3"/>
      <c r="GN232" s="3"/>
      <c r="GO232" s="3"/>
      <c r="GP232" s="3"/>
      <c r="GQ232" s="3"/>
      <c r="GR232" s="3"/>
      <c r="GS232" s="3"/>
      <c r="GT232" s="3"/>
      <c r="GU232" s="3"/>
      <c r="GV232" s="3"/>
      <c r="GW232" s="3"/>
      <c r="GX232" s="3">
        <v>0</v>
      </c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201</v>
      </c>
      <c r="F234" s="4">
        <f>ROUND(Source!O232,O234)</f>
        <v>614249.38</v>
      </c>
      <c r="G234" s="4" t="s">
        <v>159</v>
      </c>
      <c r="H234" s="4" t="s">
        <v>160</v>
      </c>
      <c r="I234" s="4"/>
      <c r="J234" s="4"/>
      <c r="K234" s="4">
        <v>201</v>
      </c>
      <c r="L234" s="4">
        <v>1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614249.38</v>
      </c>
      <c r="X234" s="4">
        <v>1</v>
      </c>
      <c r="Y234" s="4">
        <v>614249.38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202</v>
      </c>
      <c r="F235" s="4">
        <f>ROUND(Source!P232,O235)</f>
        <v>403570.11</v>
      </c>
      <c r="G235" s="4" t="s">
        <v>161</v>
      </c>
      <c r="H235" s="4" t="s">
        <v>162</v>
      </c>
      <c r="I235" s="4"/>
      <c r="J235" s="4"/>
      <c r="K235" s="4">
        <v>202</v>
      </c>
      <c r="L235" s="4">
        <v>2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403570.11</v>
      </c>
      <c r="X235" s="4">
        <v>1</v>
      </c>
      <c r="Y235" s="4">
        <v>403570.11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222</v>
      </c>
      <c r="F236" s="4">
        <f>ROUND(Source!AO232,O236)</f>
        <v>0</v>
      </c>
      <c r="G236" s="4" t="s">
        <v>163</v>
      </c>
      <c r="H236" s="4" t="s">
        <v>164</v>
      </c>
      <c r="I236" s="4"/>
      <c r="J236" s="4"/>
      <c r="K236" s="4">
        <v>222</v>
      </c>
      <c r="L236" s="4">
        <v>3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225</v>
      </c>
      <c r="F237" s="4">
        <f>ROUND(Source!AV232,O237)</f>
        <v>403570.11</v>
      </c>
      <c r="G237" s="4" t="s">
        <v>165</v>
      </c>
      <c r="H237" s="4" t="s">
        <v>166</v>
      </c>
      <c r="I237" s="4"/>
      <c r="J237" s="4"/>
      <c r="K237" s="4">
        <v>225</v>
      </c>
      <c r="L237" s="4">
        <v>4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403570.11</v>
      </c>
      <c r="X237" s="4">
        <v>1</v>
      </c>
      <c r="Y237" s="4">
        <v>403570.11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226</v>
      </c>
      <c r="F238" s="4">
        <f>ROUND(Source!AW232,O238)</f>
        <v>403570.11</v>
      </c>
      <c r="G238" s="4" t="s">
        <v>167</v>
      </c>
      <c r="H238" s="4" t="s">
        <v>168</v>
      </c>
      <c r="I238" s="4"/>
      <c r="J238" s="4"/>
      <c r="K238" s="4">
        <v>226</v>
      </c>
      <c r="L238" s="4">
        <v>5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403570.11</v>
      </c>
      <c r="X238" s="4">
        <v>1</v>
      </c>
      <c r="Y238" s="4">
        <v>403570.11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227</v>
      </c>
      <c r="F239" s="4">
        <f>ROUND(Source!AX232,O239)</f>
        <v>0</v>
      </c>
      <c r="G239" s="4" t="s">
        <v>169</v>
      </c>
      <c r="H239" s="4" t="s">
        <v>170</v>
      </c>
      <c r="I239" s="4"/>
      <c r="J239" s="4"/>
      <c r="K239" s="4">
        <v>227</v>
      </c>
      <c r="L239" s="4">
        <v>6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228</v>
      </c>
      <c r="F240" s="4">
        <f>ROUND(Source!AY232,O240)</f>
        <v>403570.11</v>
      </c>
      <c r="G240" s="4" t="s">
        <v>171</v>
      </c>
      <c r="H240" s="4" t="s">
        <v>172</v>
      </c>
      <c r="I240" s="4"/>
      <c r="J240" s="4"/>
      <c r="K240" s="4">
        <v>228</v>
      </c>
      <c r="L240" s="4">
        <v>7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403570.11</v>
      </c>
      <c r="X240" s="4">
        <v>1</v>
      </c>
      <c r="Y240" s="4">
        <v>403570.11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216</v>
      </c>
      <c r="F241" s="4">
        <f>ROUND(Source!AP232,O241)</f>
        <v>0</v>
      </c>
      <c r="G241" s="4" t="s">
        <v>173</v>
      </c>
      <c r="H241" s="4" t="s">
        <v>174</v>
      </c>
      <c r="I241" s="4"/>
      <c r="J241" s="4"/>
      <c r="K241" s="4">
        <v>216</v>
      </c>
      <c r="L241" s="4">
        <v>8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223</v>
      </c>
      <c r="F242" s="4">
        <f>ROUND(Source!AQ232,O242)</f>
        <v>0</v>
      </c>
      <c r="G242" s="4" t="s">
        <v>175</v>
      </c>
      <c r="H242" s="4" t="s">
        <v>176</v>
      </c>
      <c r="I242" s="4"/>
      <c r="J242" s="4"/>
      <c r="K242" s="4">
        <v>223</v>
      </c>
      <c r="L242" s="4">
        <v>9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229</v>
      </c>
      <c r="F243" s="4">
        <f>ROUND(Source!AZ232,O243)</f>
        <v>0</v>
      </c>
      <c r="G243" s="4" t="s">
        <v>177</v>
      </c>
      <c r="H243" s="4" t="s">
        <v>178</v>
      </c>
      <c r="I243" s="4"/>
      <c r="J243" s="4"/>
      <c r="K243" s="4">
        <v>229</v>
      </c>
      <c r="L243" s="4">
        <v>10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203</v>
      </c>
      <c r="F244" s="4">
        <f>ROUND(Source!Q232,O244)</f>
        <v>22605.46</v>
      </c>
      <c r="G244" s="4" t="s">
        <v>179</v>
      </c>
      <c r="H244" s="4" t="s">
        <v>180</v>
      </c>
      <c r="I244" s="4"/>
      <c r="J244" s="4"/>
      <c r="K244" s="4">
        <v>203</v>
      </c>
      <c r="L244" s="4">
        <v>11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22605.46</v>
      </c>
      <c r="X244" s="4">
        <v>1</v>
      </c>
      <c r="Y244" s="4">
        <v>22605.46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231</v>
      </c>
      <c r="F245" s="4">
        <f>ROUND(Source!BB232,O245)</f>
        <v>0</v>
      </c>
      <c r="G245" s="4" t="s">
        <v>181</v>
      </c>
      <c r="H245" s="4" t="s">
        <v>182</v>
      </c>
      <c r="I245" s="4"/>
      <c r="J245" s="4"/>
      <c r="K245" s="4">
        <v>231</v>
      </c>
      <c r="L245" s="4">
        <v>12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204</v>
      </c>
      <c r="F246" s="4">
        <f>ROUND(Source!R232,O246)</f>
        <v>12693.78</v>
      </c>
      <c r="G246" s="4" t="s">
        <v>183</v>
      </c>
      <c r="H246" s="4" t="s">
        <v>184</v>
      </c>
      <c r="I246" s="4"/>
      <c r="J246" s="4"/>
      <c r="K246" s="4">
        <v>204</v>
      </c>
      <c r="L246" s="4">
        <v>13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12693.78</v>
      </c>
      <c r="X246" s="4">
        <v>1</v>
      </c>
      <c r="Y246" s="4">
        <v>12693.78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205</v>
      </c>
      <c r="F247" s="4">
        <f>ROUND(Source!S232,O247)</f>
        <v>188073.81</v>
      </c>
      <c r="G247" s="4" t="s">
        <v>185</v>
      </c>
      <c r="H247" s="4" t="s">
        <v>186</v>
      </c>
      <c r="I247" s="4"/>
      <c r="J247" s="4"/>
      <c r="K247" s="4">
        <v>205</v>
      </c>
      <c r="L247" s="4">
        <v>14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188073.81</v>
      </c>
      <c r="X247" s="4">
        <v>1</v>
      </c>
      <c r="Y247" s="4">
        <v>188073.81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232</v>
      </c>
      <c r="F248" s="4">
        <f>ROUND(Source!BC232,O248)</f>
        <v>0</v>
      </c>
      <c r="G248" s="4" t="s">
        <v>187</v>
      </c>
      <c r="H248" s="4" t="s">
        <v>188</v>
      </c>
      <c r="I248" s="4"/>
      <c r="J248" s="4"/>
      <c r="K248" s="4">
        <v>232</v>
      </c>
      <c r="L248" s="4">
        <v>15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214</v>
      </c>
      <c r="F249" s="4">
        <f>ROUND(Source!AS232,O249)</f>
        <v>865274.57</v>
      </c>
      <c r="G249" s="4" t="s">
        <v>189</v>
      </c>
      <c r="H249" s="4" t="s">
        <v>190</v>
      </c>
      <c r="I249" s="4"/>
      <c r="J249" s="4"/>
      <c r="K249" s="4">
        <v>214</v>
      </c>
      <c r="L249" s="4">
        <v>16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865274.57</v>
      </c>
      <c r="X249" s="4">
        <v>1</v>
      </c>
      <c r="Y249" s="4">
        <v>865274.57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215</v>
      </c>
      <c r="F250" s="4">
        <f>ROUND(Source!AT232,O250)</f>
        <v>0</v>
      </c>
      <c r="G250" s="4" t="s">
        <v>46</v>
      </c>
      <c r="H250" s="4" t="s">
        <v>191</v>
      </c>
      <c r="I250" s="4"/>
      <c r="J250" s="4"/>
      <c r="K250" s="4">
        <v>215</v>
      </c>
      <c r="L250" s="4">
        <v>17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217</v>
      </c>
      <c r="F251" s="4">
        <f>ROUND(Source!AU232,O251)</f>
        <v>0</v>
      </c>
      <c r="G251" s="4" t="s">
        <v>192</v>
      </c>
      <c r="H251" s="4" t="s">
        <v>193</v>
      </c>
      <c r="I251" s="4"/>
      <c r="J251" s="4"/>
      <c r="K251" s="4">
        <v>217</v>
      </c>
      <c r="L251" s="4">
        <v>18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230</v>
      </c>
      <c r="F252" s="4">
        <f>ROUND(Source!BA232,O252)</f>
        <v>0</v>
      </c>
      <c r="G252" s="4" t="s">
        <v>194</v>
      </c>
      <c r="H252" s="4" t="s">
        <v>195</v>
      </c>
      <c r="I252" s="4"/>
      <c r="J252" s="4"/>
      <c r="K252" s="4">
        <v>230</v>
      </c>
      <c r="L252" s="4">
        <v>19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206</v>
      </c>
      <c r="F253" s="4">
        <f>ROUND(Source!T232,O253)</f>
        <v>0</v>
      </c>
      <c r="G253" s="4" t="s">
        <v>196</v>
      </c>
      <c r="H253" s="4" t="s">
        <v>197</v>
      </c>
      <c r="I253" s="4"/>
      <c r="J253" s="4"/>
      <c r="K253" s="4">
        <v>206</v>
      </c>
      <c r="L253" s="4">
        <v>20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207</v>
      </c>
      <c r="F254" s="4">
        <f>Source!U232</f>
        <v>546.54595999999992</v>
      </c>
      <c r="G254" s="4" t="s">
        <v>198</v>
      </c>
      <c r="H254" s="4" t="s">
        <v>199</v>
      </c>
      <c r="I254" s="4"/>
      <c r="J254" s="4"/>
      <c r="K254" s="4">
        <v>207</v>
      </c>
      <c r="L254" s="4">
        <v>21</v>
      </c>
      <c r="M254" s="4">
        <v>3</v>
      </c>
      <c r="N254" s="4" t="s">
        <v>3</v>
      </c>
      <c r="O254" s="4">
        <v>-1</v>
      </c>
      <c r="P254" s="4"/>
      <c r="Q254" s="4"/>
      <c r="R254" s="4"/>
      <c r="S254" s="4"/>
      <c r="T254" s="4"/>
      <c r="U254" s="4"/>
      <c r="V254" s="4"/>
      <c r="W254" s="4">
        <v>546.54595999999992</v>
      </c>
      <c r="X254" s="4">
        <v>1</v>
      </c>
      <c r="Y254" s="4">
        <v>546.54595999999992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208</v>
      </c>
      <c r="F255" s="4">
        <f>Source!V232</f>
        <v>0</v>
      </c>
      <c r="G255" s="4" t="s">
        <v>200</v>
      </c>
      <c r="H255" s="4" t="s">
        <v>201</v>
      </c>
      <c r="I255" s="4"/>
      <c r="J255" s="4"/>
      <c r="K255" s="4">
        <v>208</v>
      </c>
      <c r="L255" s="4">
        <v>22</v>
      </c>
      <c r="M255" s="4">
        <v>3</v>
      </c>
      <c r="N255" s="4" t="s">
        <v>3</v>
      </c>
      <c r="O255" s="4">
        <v>-1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209</v>
      </c>
      <c r="F256" s="4">
        <f>ROUND(Source!W232,O256)</f>
        <v>0</v>
      </c>
      <c r="G256" s="4" t="s">
        <v>202</v>
      </c>
      <c r="H256" s="4" t="s">
        <v>203</v>
      </c>
      <c r="I256" s="4"/>
      <c r="J256" s="4"/>
      <c r="K256" s="4">
        <v>209</v>
      </c>
      <c r="L256" s="4">
        <v>23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233</v>
      </c>
      <c r="F257" s="4">
        <f>ROUND(Source!BD232,O257)</f>
        <v>0</v>
      </c>
      <c r="G257" s="4" t="s">
        <v>204</v>
      </c>
      <c r="H257" s="4" t="s">
        <v>205</v>
      </c>
      <c r="I257" s="4"/>
      <c r="J257" s="4"/>
      <c r="K257" s="4">
        <v>233</v>
      </c>
      <c r="L257" s="4">
        <v>24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45" x14ac:dyDescent="0.2">
      <c r="A258" s="4">
        <v>50</v>
      </c>
      <c r="B258" s="4">
        <v>0</v>
      </c>
      <c r="C258" s="4">
        <v>0</v>
      </c>
      <c r="D258" s="4">
        <v>1</v>
      </c>
      <c r="E258" s="4">
        <v>210</v>
      </c>
      <c r="F258" s="4">
        <f>ROUND(Source!X232,O258)</f>
        <v>153604.89000000001</v>
      </c>
      <c r="G258" s="4" t="s">
        <v>206</v>
      </c>
      <c r="H258" s="4" t="s">
        <v>207</v>
      </c>
      <c r="I258" s="4"/>
      <c r="J258" s="4"/>
      <c r="K258" s="4">
        <v>210</v>
      </c>
      <c r="L258" s="4">
        <v>25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153604.89000000001</v>
      </c>
      <c r="X258" s="4">
        <v>1</v>
      </c>
      <c r="Y258" s="4">
        <v>153604.89000000001</v>
      </c>
      <c r="Z258" s="4"/>
      <c r="AA258" s="4"/>
      <c r="AB258" s="4"/>
    </row>
    <row r="259" spans="1:245" x14ac:dyDescent="0.2">
      <c r="A259" s="4">
        <v>50</v>
      </c>
      <c r="B259" s="4">
        <v>0</v>
      </c>
      <c r="C259" s="4">
        <v>0</v>
      </c>
      <c r="D259" s="4">
        <v>1</v>
      </c>
      <c r="E259" s="4">
        <v>211</v>
      </c>
      <c r="F259" s="4">
        <f>ROUND(Source!Y232,O259)</f>
        <v>77110.259999999995</v>
      </c>
      <c r="G259" s="4" t="s">
        <v>208</v>
      </c>
      <c r="H259" s="4" t="s">
        <v>209</v>
      </c>
      <c r="I259" s="4"/>
      <c r="J259" s="4"/>
      <c r="K259" s="4">
        <v>211</v>
      </c>
      <c r="L259" s="4">
        <v>26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77110.259999999995</v>
      </c>
      <c r="X259" s="4">
        <v>1</v>
      </c>
      <c r="Y259" s="4">
        <v>77110.259999999995</v>
      </c>
      <c r="Z259" s="4"/>
      <c r="AA259" s="4"/>
      <c r="AB259" s="4"/>
    </row>
    <row r="260" spans="1:245" x14ac:dyDescent="0.2">
      <c r="A260" s="4">
        <v>50</v>
      </c>
      <c r="B260" s="4">
        <v>0</v>
      </c>
      <c r="C260" s="4">
        <v>0</v>
      </c>
      <c r="D260" s="4">
        <v>1</v>
      </c>
      <c r="E260" s="4">
        <v>224</v>
      </c>
      <c r="F260" s="4">
        <f>ROUND(Source!AR232,O260)</f>
        <v>865274.57</v>
      </c>
      <c r="G260" s="4" t="s">
        <v>210</v>
      </c>
      <c r="H260" s="4" t="s">
        <v>211</v>
      </c>
      <c r="I260" s="4"/>
      <c r="J260" s="4"/>
      <c r="K260" s="4">
        <v>224</v>
      </c>
      <c r="L260" s="4">
        <v>27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865274.57</v>
      </c>
      <c r="X260" s="4">
        <v>1</v>
      </c>
      <c r="Y260" s="4">
        <v>865274.57</v>
      </c>
      <c r="Z260" s="4"/>
      <c r="AA260" s="4"/>
      <c r="AB260" s="4"/>
    </row>
    <row r="262" spans="1:245" x14ac:dyDescent="0.2">
      <c r="A262" s="1">
        <v>4</v>
      </c>
      <c r="B262" s="1">
        <v>1</v>
      </c>
      <c r="C262" s="1"/>
      <c r="D262" s="1">
        <f>ROW(A277)</f>
        <v>277</v>
      </c>
      <c r="E262" s="1"/>
      <c r="F262" s="1" t="s">
        <v>14</v>
      </c>
      <c r="G262" s="1" t="s">
        <v>523</v>
      </c>
      <c r="H262" s="1" t="s">
        <v>3</v>
      </c>
      <c r="I262" s="1">
        <v>0</v>
      </c>
      <c r="J262" s="1"/>
      <c r="K262" s="1">
        <v>-1</v>
      </c>
      <c r="L262" s="1"/>
      <c r="M262" s="1" t="s">
        <v>3</v>
      </c>
      <c r="N262" s="1"/>
      <c r="O262" s="1"/>
      <c r="P262" s="1"/>
      <c r="Q262" s="1"/>
      <c r="R262" s="1"/>
      <c r="S262" s="1">
        <v>0</v>
      </c>
      <c r="T262" s="1"/>
      <c r="U262" s="1" t="s">
        <v>3</v>
      </c>
      <c r="V262" s="1">
        <v>0</v>
      </c>
      <c r="W262" s="1"/>
      <c r="X262" s="1"/>
      <c r="Y262" s="1"/>
      <c r="Z262" s="1"/>
      <c r="AA262" s="1"/>
      <c r="AB262" s="1" t="s">
        <v>3</v>
      </c>
      <c r="AC262" s="1" t="s">
        <v>3</v>
      </c>
      <c r="AD262" s="1" t="s">
        <v>3</v>
      </c>
      <c r="AE262" s="1" t="s">
        <v>3</v>
      </c>
      <c r="AF262" s="1" t="s">
        <v>3</v>
      </c>
      <c r="AG262" s="1" t="s">
        <v>3</v>
      </c>
      <c r="AH262" s="1"/>
      <c r="AI262" s="1"/>
      <c r="AJ262" s="1"/>
      <c r="AK262" s="1"/>
      <c r="AL262" s="1"/>
      <c r="AM262" s="1"/>
      <c r="AN262" s="1"/>
      <c r="AO262" s="1"/>
      <c r="AP262" s="1" t="s">
        <v>3</v>
      </c>
      <c r="AQ262" s="1" t="s">
        <v>3</v>
      </c>
      <c r="AR262" s="1" t="s">
        <v>3</v>
      </c>
      <c r="AS262" s="1"/>
      <c r="AT262" s="1"/>
      <c r="AU262" s="1"/>
      <c r="AV262" s="1"/>
      <c r="AW262" s="1"/>
      <c r="AX262" s="1"/>
      <c r="AY262" s="1"/>
      <c r="AZ262" s="1" t="s">
        <v>3</v>
      </c>
      <c r="BA262" s="1"/>
      <c r="BB262" s="1" t="s">
        <v>3</v>
      </c>
      <c r="BC262" s="1" t="s">
        <v>3</v>
      </c>
      <c r="BD262" s="1" t="s">
        <v>3</v>
      </c>
      <c r="BE262" s="1" t="s">
        <v>3</v>
      </c>
      <c r="BF262" s="1" t="s">
        <v>3</v>
      </c>
      <c r="BG262" s="1" t="s">
        <v>3</v>
      </c>
      <c r="BH262" s="1" t="s">
        <v>3</v>
      </c>
      <c r="BI262" s="1" t="s">
        <v>3</v>
      </c>
      <c r="BJ262" s="1" t="s">
        <v>3</v>
      </c>
      <c r="BK262" s="1" t="s">
        <v>3</v>
      </c>
      <c r="BL262" s="1" t="s">
        <v>3</v>
      </c>
      <c r="BM262" s="1" t="s">
        <v>3</v>
      </c>
      <c r="BN262" s="1" t="s">
        <v>3</v>
      </c>
      <c r="BO262" s="1" t="s">
        <v>3</v>
      </c>
      <c r="BP262" s="1" t="s">
        <v>3</v>
      </c>
      <c r="BQ262" s="1"/>
      <c r="BR262" s="1"/>
      <c r="BS262" s="1"/>
      <c r="BT262" s="1"/>
      <c r="BU262" s="1"/>
      <c r="BV262" s="1"/>
      <c r="BW262" s="1"/>
      <c r="BX262" s="1">
        <v>0</v>
      </c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>
        <v>0</v>
      </c>
    </row>
    <row r="264" spans="1:245" x14ac:dyDescent="0.2">
      <c r="A264" s="2">
        <v>52</v>
      </c>
      <c r="B264" s="2">
        <f t="shared" ref="B264:G264" si="232">B277</f>
        <v>1</v>
      </c>
      <c r="C264" s="2">
        <f t="shared" si="232"/>
        <v>4</v>
      </c>
      <c r="D264" s="2">
        <f t="shared" si="232"/>
        <v>262</v>
      </c>
      <c r="E264" s="2">
        <f t="shared" si="232"/>
        <v>0</v>
      </c>
      <c r="F264" s="2" t="str">
        <f t="shared" si="232"/>
        <v>Новый раздел</v>
      </c>
      <c r="G264" s="2" t="str">
        <f t="shared" si="232"/>
        <v>Двери</v>
      </c>
      <c r="H264" s="2"/>
      <c r="I264" s="2"/>
      <c r="J264" s="2"/>
      <c r="K264" s="2"/>
      <c r="L264" s="2"/>
      <c r="M264" s="2"/>
      <c r="N264" s="2"/>
      <c r="O264" s="2">
        <f t="shared" ref="O264:AT264" si="233">O277</f>
        <v>262664.96000000002</v>
      </c>
      <c r="P264" s="2">
        <f t="shared" si="233"/>
        <v>227372.76</v>
      </c>
      <c r="Q264" s="2">
        <f t="shared" si="233"/>
        <v>492.68</v>
      </c>
      <c r="R264" s="2">
        <f t="shared" si="233"/>
        <v>100.22</v>
      </c>
      <c r="S264" s="2">
        <f t="shared" si="233"/>
        <v>34799.519999999997</v>
      </c>
      <c r="T264" s="2">
        <f t="shared" si="233"/>
        <v>0</v>
      </c>
      <c r="U264" s="2">
        <f t="shared" si="233"/>
        <v>99.520700000000005</v>
      </c>
      <c r="V264" s="2">
        <f t="shared" si="233"/>
        <v>0</v>
      </c>
      <c r="W264" s="2">
        <f t="shared" si="233"/>
        <v>0</v>
      </c>
      <c r="X264" s="2">
        <f t="shared" si="233"/>
        <v>25510.84</v>
      </c>
      <c r="Y264" s="2">
        <f t="shared" si="233"/>
        <v>14267.8</v>
      </c>
      <c r="Z264" s="2">
        <f t="shared" si="233"/>
        <v>0</v>
      </c>
      <c r="AA264" s="2">
        <f t="shared" si="233"/>
        <v>0</v>
      </c>
      <c r="AB264" s="2">
        <f t="shared" si="233"/>
        <v>262664.96000000002</v>
      </c>
      <c r="AC264" s="2">
        <f t="shared" si="233"/>
        <v>227372.76</v>
      </c>
      <c r="AD264" s="2">
        <f t="shared" si="233"/>
        <v>492.68</v>
      </c>
      <c r="AE264" s="2">
        <f t="shared" si="233"/>
        <v>100.22</v>
      </c>
      <c r="AF264" s="2">
        <f t="shared" si="233"/>
        <v>34799.519999999997</v>
      </c>
      <c r="AG264" s="2">
        <f t="shared" si="233"/>
        <v>0</v>
      </c>
      <c r="AH264" s="2">
        <f t="shared" si="233"/>
        <v>99.520700000000005</v>
      </c>
      <c r="AI264" s="2">
        <f t="shared" si="233"/>
        <v>0</v>
      </c>
      <c r="AJ264" s="2">
        <f t="shared" si="233"/>
        <v>0</v>
      </c>
      <c r="AK264" s="2">
        <f t="shared" si="233"/>
        <v>25510.84</v>
      </c>
      <c r="AL264" s="2">
        <f t="shared" si="233"/>
        <v>14267.8</v>
      </c>
      <c r="AM264" s="2">
        <f t="shared" si="233"/>
        <v>0</v>
      </c>
      <c r="AN264" s="2">
        <f t="shared" si="233"/>
        <v>0</v>
      </c>
      <c r="AO264" s="2">
        <f t="shared" si="233"/>
        <v>0</v>
      </c>
      <c r="AP264" s="2">
        <f t="shared" si="233"/>
        <v>0</v>
      </c>
      <c r="AQ264" s="2">
        <f t="shared" si="233"/>
        <v>0</v>
      </c>
      <c r="AR264" s="2">
        <f t="shared" si="233"/>
        <v>302603.95</v>
      </c>
      <c r="AS264" s="2">
        <f t="shared" si="233"/>
        <v>302603.95</v>
      </c>
      <c r="AT264" s="2">
        <f t="shared" si="233"/>
        <v>0</v>
      </c>
      <c r="AU264" s="2">
        <f t="shared" ref="AU264:BZ264" si="234">AU277</f>
        <v>0</v>
      </c>
      <c r="AV264" s="2">
        <f t="shared" si="234"/>
        <v>227372.76</v>
      </c>
      <c r="AW264" s="2">
        <f t="shared" si="234"/>
        <v>227372.76</v>
      </c>
      <c r="AX264" s="2">
        <f t="shared" si="234"/>
        <v>0</v>
      </c>
      <c r="AY264" s="2">
        <f t="shared" si="234"/>
        <v>227372.76</v>
      </c>
      <c r="AZ264" s="2">
        <f t="shared" si="234"/>
        <v>0</v>
      </c>
      <c r="BA264" s="2">
        <f t="shared" si="234"/>
        <v>0</v>
      </c>
      <c r="BB264" s="2">
        <f t="shared" si="234"/>
        <v>0</v>
      </c>
      <c r="BC264" s="2">
        <f t="shared" si="234"/>
        <v>0</v>
      </c>
      <c r="BD264" s="2">
        <f t="shared" si="234"/>
        <v>0</v>
      </c>
      <c r="BE264" s="2">
        <f t="shared" si="234"/>
        <v>0</v>
      </c>
      <c r="BF264" s="2">
        <f t="shared" si="234"/>
        <v>0</v>
      </c>
      <c r="BG264" s="2">
        <f t="shared" si="234"/>
        <v>0</v>
      </c>
      <c r="BH264" s="2">
        <f t="shared" si="234"/>
        <v>0</v>
      </c>
      <c r="BI264" s="2">
        <f t="shared" si="234"/>
        <v>0</v>
      </c>
      <c r="BJ264" s="2">
        <f t="shared" si="234"/>
        <v>0</v>
      </c>
      <c r="BK264" s="2">
        <f t="shared" si="234"/>
        <v>0</v>
      </c>
      <c r="BL264" s="2">
        <f t="shared" si="234"/>
        <v>0</v>
      </c>
      <c r="BM264" s="2">
        <f t="shared" si="234"/>
        <v>0</v>
      </c>
      <c r="BN264" s="2">
        <f t="shared" si="234"/>
        <v>0</v>
      </c>
      <c r="BO264" s="2">
        <f t="shared" si="234"/>
        <v>0</v>
      </c>
      <c r="BP264" s="2">
        <f t="shared" si="234"/>
        <v>0</v>
      </c>
      <c r="BQ264" s="2">
        <f t="shared" si="234"/>
        <v>0</v>
      </c>
      <c r="BR264" s="2">
        <f t="shared" si="234"/>
        <v>0</v>
      </c>
      <c r="BS264" s="2">
        <f t="shared" si="234"/>
        <v>0</v>
      </c>
      <c r="BT264" s="2">
        <f t="shared" si="234"/>
        <v>0</v>
      </c>
      <c r="BU264" s="2">
        <f t="shared" si="234"/>
        <v>0</v>
      </c>
      <c r="BV264" s="2">
        <f t="shared" si="234"/>
        <v>0</v>
      </c>
      <c r="BW264" s="2">
        <f t="shared" si="234"/>
        <v>0</v>
      </c>
      <c r="BX264" s="2">
        <f t="shared" si="234"/>
        <v>0</v>
      </c>
      <c r="BY264" s="2">
        <f t="shared" si="234"/>
        <v>0</v>
      </c>
      <c r="BZ264" s="2">
        <f t="shared" si="234"/>
        <v>0</v>
      </c>
      <c r="CA264" s="2">
        <f t="shared" ref="CA264:DF264" si="235">CA277</f>
        <v>302603.95</v>
      </c>
      <c r="CB264" s="2">
        <f t="shared" si="235"/>
        <v>302603.95</v>
      </c>
      <c r="CC264" s="2">
        <f t="shared" si="235"/>
        <v>0</v>
      </c>
      <c r="CD264" s="2">
        <f t="shared" si="235"/>
        <v>0</v>
      </c>
      <c r="CE264" s="2">
        <f t="shared" si="235"/>
        <v>227372.76</v>
      </c>
      <c r="CF264" s="2">
        <f t="shared" si="235"/>
        <v>227372.76</v>
      </c>
      <c r="CG264" s="2">
        <f t="shared" si="235"/>
        <v>0</v>
      </c>
      <c r="CH264" s="2">
        <f t="shared" si="235"/>
        <v>227372.76</v>
      </c>
      <c r="CI264" s="2">
        <f t="shared" si="235"/>
        <v>0</v>
      </c>
      <c r="CJ264" s="2">
        <f t="shared" si="235"/>
        <v>0</v>
      </c>
      <c r="CK264" s="2">
        <f t="shared" si="235"/>
        <v>0</v>
      </c>
      <c r="CL264" s="2">
        <f t="shared" si="235"/>
        <v>0</v>
      </c>
      <c r="CM264" s="2">
        <f t="shared" si="235"/>
        <v>0</v>
      </c>
      <c r="CN264" s="2">
        <f t="shared" si="235"/>
        <v>0</v>
      </c>
      <c r="CO264" s="2">
        <f t="shared" si="235"/>
        <v>0</v>
      </c>
      <c r="CP264" s="2">
        <f t="shared" si="235"/>
        <v>0</v>
      </c>
      <c r="CQ264" s="2">
        <f t="shared" si="235"/>
        <v>0</v>
      </c>
      <c r="CR264" s="2">
        <f t="shared" si="235"/>
        <v>0</v>
      </c>
      <c r="CS264" s="2">
        <f t="shared" si="235"/>
        <v>0</v>
      </c>
      <c r="CT264" s="2">
        <f t="shared" si="235"/>
        <v>0</v>
      </c>
      <c r="CU264" s="2">
        <f t="shared" si="235"/>
        <v>0</v>
      </c>
      <c r="CV264" s="2">
        <f t="shared" si="235"/>
        <v>0</v>
      </c>
      <c r="CW264" s="2">
        <f t="shared" si="235"/>
        <v>0</v>
      </c>
      <c r="CX264" s="2">
        <f t="shared" si="235"/>
        <v>0</v>
      </c>
      <c r="CY264" s="2">
        <f t="shared" si="235"/>
        <v>0</v>
      </c>
      <c r="CZ264" s="2">
        <f t="shared" si="235"/>
        <v>0</v>
      </c>
      <c r="DA264" s="2">
        <f t="shared" si="235"/>
        <v>0</v>
      </c>
      <c r="DB264" s="2">
        <f t="shared" si="235"/>
        <v>0</v>
      </c>
      <c r="DC264" s="2">
        <f t="shared" si="235"/>
        <v>0</v>
      </c>
      <c r="DD264" s="2">
        <f t="shared" si="235"/>
        <v>0</v>
      </c>
      <c r="DE264" s="2">
        <f t="shared" si="235"/>
        <v>0</v>
      </c>
      <c r="DF264" s="2">
        <f t="shared" si="235"/>
        <v>0</v>
      </c>
      <c r="DG264" s="3">
        <f t="shared" ref="DG264:EL264" si="236">DG277</f>
        <v>0</v>
      </c>
      <c r="DH264" s="3">
        <f t="shared" si="236"/>
        <v>0</v>
      </c>
      <c r="DI264" s="3">
        <f t="shared" si="236"/>
        <v>0</v>
      </c>
      <c r="DJ264" s="3">
        <f t="shared" si="236"/>
        <v>0</v>
      </c>
      <c r="DK264" s="3">
        <f t="shared" si="236"/>
        <v>0</v>
      </c>
      <c r="DL264" s="3">
        <f t="shared" si="236"/>
        <v>0</v>
      </c>
      <c r="DM264" s="3">
        <f t="shared" si="236"/>
        <v>0</v>
      </c>
      <c r="DN264" s="3">
        <f t="shared" si="236"/>
        <v>0</v>
      </c>
      <c r="DO264" s="3">
        <f t="shared" si="236"/>
        <v>0</v>
      </c>
      <c r="DP264" s="3">
        <f t="shared" si="236"/>
        <v>0</v>
      </c>
      <c r="DQ264" s="3">
        <f t="shared" si="236"/>
        <v>0</v>
      </c>
      <c r="DR264" s="3">
        <f t="shared" si="236"/>
        <v>0</v>
      </c>
      <c r="DS264" s="3">
        <f t="shared" si="236"/>
        <v>0</v>
      </c>
      <c r="DT264" s="3">
        <f t="shared" si="236"/>
        <v>0</v>
      </c>
      <c r="DU264" s="3">
        <f t="shared" si="236"/>
        <v>0</v>
      </c>
      <c r="DV264" s="3">
        <f t="shared" si="236"/>
        <v>0</v>
      </c>
      <c r="DW264" s="3">
        <f t="shared" si="236"/>
        <v>0</v>
      </c>
      <c r="DX264" s="3">
        <f t="shared" si="236"/>
        <v>0</v>
      </c>
      <c r="DY264" s="3">
        <f t="shared" si="236"/>
        <v>0</v>
      </c>
      <c r="DZ264" s="3">
        <f t="shared" si="236"/>
        <v>0</v>
      </c>
      <c r="EA264" s="3">
        <f t="shared" si="236"/>
        <v>0</v>
      </c>
      <c r="EB264" s="3">
        <f t="shared" si="236"/>
        <v>0</v>
      </c>
      <c r="EC264" s="3">
        <f t="shared" si="236"/>
        <v>0</v>
      </c>
      <c r="ED264" s="3">
        <f t="shared" si="236"/>
        <v>0</v>
      </c>
      <c r="EE264" s="3">
        <f t="shared" si="236"/>
        <v>0</v>
      </c>
      <c r="EF264" s="3">
        <f t="shared" si="236"/>
        <v>0</v>
      </c>
      <c r="EG264" s="3">
        <f t="shared" si="236"/>
        <v>0</v>
      </c>
      <c r="EH264" s="3">
        <f t="shared" si="236"/>
        <v>0</v>
      </c>
      <c r="EI264" s="3">
        <f t="shared" si="236"/>
        <v>0</v>
      </c>
      <c r="EJ264" s="3">
        <f t="shared" si="236"/>
        <v>0</v>
      </c>
      <c r="EK264" s="3">
        <f t="shared" si="236"/>
        <v>0</v>
      </c>
      <c r="EL264" s="3">
        <f t="shared" si="236"/>
        <v>0</v>
      </c>
      <c r="EM264" s="3">
        <f t="shared" ref="EM264:FR264" si="237">EM277</f>
        <v>0</v>
      </c>
      <c r="EN264" s="3">
        <f t="shared" si="237"/>
        <v>0</v>
      </c>
      <c r="EO264" s="3">
        <f t="shared" si="237"/>
        <v>0</v>
      </c>
      <c r="EP264" s="3">
        <f t="shared" si="237"/>
        <v>0</v>
      </c>
      <c r="EQ264" s="3">
        <f t="shared" si="237"/>
        <v>0</v>
      </c>
      <c r="ER264" s="3">
        <f t="shared" si="237"/>
        <v>0</v>
      </c>
      <c r="ES264" s="3">
        <f t="shared" si="237"/>
        <v>0</v>
      </c>
      <c r="ET264" s="3">
        <f t="shared" si="237"/>
        <v>0</v>
      </c>
      <c r="EU264" s="3">
        <f t="shared" si="237"/>
        <v>0</v>
      </c>
      <c r="EV264" s="3">
        <f t="shared" si="237"/>
        <v>0</v>
      </c>
      <c r="EW264" s="3">
        <f t="shared" si="237"/>
        <v>0</v>
      </c>
      <c r="EX264" s="3">
        <f t="shared" si="237"/>
        <v>0</v>
      </c>
      <c r="EY264" s="3">
        <f t="shared" si="237"/>
        <v>0</v>
      </c>
      <c r="EZ264" s="3">
        <f t="shared" si="237"/>
        <v>0</v>
      </c>
      <c r="FA264" s="3">
        <f t="shared" si="237"/>
        <v>0</v>
      </c>
      <c r="FB264" s="3">
        <f t="shared" si="237"/>
        <v>0</v>
      </c>
      <c r="FC264" s="3">
        <f t="shared" si="237"/>
        <v>0</v>
      </c>
      <c r="FD264" s="3">
        <f t="shared" si="237"/>
        <v>0</v>
      </c>
      <c r="FE264" s="3">
        <f t="shared" si="237"/>
        <v>0</v>
      </c>
      <c r="FF264" s="3">
        <f t="shared" si="237"/>
        <v>0</v>
      </c>
      <c r="FG264" s="3">
        <f t="shared" si="237"/>
        <v>0</v>
      </c>
      <c r="FH264" s="3">
        <f t="shared" si="237"/>
        <v>0</v>
      </c>
      <c r="FI264" s="3">
        <f t="shared" si="237"/>
        <v>0</v>
      </c>
      <c r="FJ264" s="3">
        <f t="shared" si="237"/>
        <v>0</v>
      </c>
      <c r="FK264" s="3">
        <f t="shared" si="237"/>
        <v>0</v>
      </c>
      <c r="FL264" s="3">
        <f t="shared" si="237"/>
        <v>0</v>
      </c>
      <c r="FM264" s="3">
        <f t="shared" si="237"/>
        <v>0</v>
      </c>
      <c r="FN264" s="3">
        <f t="shared" si="237"/>
        <v>0</v>
      </c>
      <c r="FO264" s="3">
        <f t="shared" si="237"/>
        <v>0</v>
      </c>
      <c r="FP264" s="3">
        <f t="shared" si="237"/>
        <v>0</v>
      </c>
      <c r="FQ264" s="3">
        <f t="shared" si="237"/>
        <v>0</v>
      </c>
      <c r="FR264" s="3">
        <f t="shared" si="237"/>
        <v>0</v>
      </c>
      <c r="FS264" s="3">
        <f t="shared" ref="FS264:GX264" si="238">FS277</f>
        <v>0</v>
      </c>
      <c r="FT264" s="3">
        <f t="shared" si="238"/>
        <v>0</v>
      </c>
      <c r="FU264" s="3">
        <f t="shared" si="238"/>
        <v>0</v>
      </c>
      <c r="FV264" s="3">
        <f t="shared" si="238"/>
        <v>0</v>
      </c>
      <c r="FW264" s="3">
        <f t="shared" si="238"/>
        <v>0</v>
      </c>
      <c r="FX264" s="3">
        <f t="shared" si="238"/>
        <v>0</v>
      </c>
      <c r="FY264" s="3">
        <f t="shared" si="238"/>
        <v>0</v>
      </c>
      <c r="FZ264" s="3">
        <f t="shared" si="238"/>
        <v>0</v>
      </c>
      <c r="GA264" s="3">
        <f t="shared" si="238"/>
        <v>0</v>
      </c>
      <c r="GB264" s="3">
        <f t="shared" si="238"/>
        <v>0</v>
      </c>
      <c r="GC264" s="3">
        <f t="shared" si="238"/>
        <v>0</v>
      </c>
      <c r="GD264" s="3">
        <f t="shared" si="238"/>
        <v>0</v>
      </c>
      <c r="GE264" s="3">
        <f t="shared" si="238"/>
        <v>0</v>
      </c>
      <c r="GF264" s="3">
        <f t="shared" si="238"/>
        <v>0</v>
      </c>
      <c r="GG264" s="3">
        <f t="shared" si="238"/>
        <v>0</v>
      </c>
      <c r="GH264" s="3">
        <f t="shared" si="238"/>
        <v>0</v>
      </c>
      <c r="GI264" s="3">
        <f t="shared" si="238"/>
        <v>0</v>
      </c>
      <c r="GJ264" s="3">
        <f t="shared" si="238"/>
        <v>0</v>
      </c>
      <c r="GK264" s="3">
        <f t="shared" si="238"/>
        <v>0</v>
      </c>
      <c r="GL264" s="3">
        <f t="shared" si="238"/>
        <v>0</v>
      </c>
      <c r="GM264" s="3">
        <f t="shared" si="238"/>
        <v>0</v>
      </c>
      <c r="GN264" s="3">
        <f t="shared" si="238"/>
        <v>0</v>
      </c>
      <c r="GO264" s="3">
        <f t="shared" si="238"/>
        <v>0</v>
      </c>
      <c r="GP264" s="3">
        <f t="shared" si="238"/>
        <v>0</v>
      </c>
      <c r="GQ264" s="3">
        <f t="shared" si="238"/>
        <v>0</v>
      </c>
      <c r="GR264" s="3">
        <f t="shared" si="238"/>
        <v>0</v>
      </c>
      <c r="GS264" s="3">
        <f t="shared" si="238"/>
        <v>0</v>
      </c>
      <c r="GT264" s="3">
        <f t="shared" si="238"/>
        <v>0</v>
      </c>
      <c r="GU264" s="3">
        <f t="shared" si="238"/>
        <v>0</v>
      </c>
      <c r="GV264" s="3">
        <f t="shared" si="238"/>
        <v>0</v>
      </c>
      <c r="GW264" s="3">
        <f t="shared" si="238"/>
        <v>0</v>
      </c>
      <c r="GX264" s="3">
        <f t="shared" si="238"/>
        <v>0</v>
      </c>
    </row>
    <row r="266" spans="1:245" x14ac:dyDescent="0.2">
      <c r="A266">
        <v>17</v>
      </c>
      <c r="B266">
        <v>1</v>
      </c>
      <c r="C266">
        <f>ROW(SmtRes!A282)</f>
        <v>282</v>
      </c>
      <c r="D266">
        <f>ROW(EtalonRes!A396)</f>
        <v>396</v>
      </c>
      <c r="E266" t="s">
        <v>524</v>
      </c>
      <c r="F266" t="s">
        <v>525</v>
      </c>
      <c r="G266" t="s">
        <v>526</v>
      </c>
      <c r="H266" t="s">
        <v>527</v>
      </c>
      <c r="I266">
        <f>ROUND(7/10,9)</f>
        <v>0.7</v>
      </c>
      <c r="J266">
        <v>0</v>
      </c>
      <c r="K266">
        <f>ROUND(7/10,9)</f>
        <v>0.7</v>
      </c>
      <c r="O266">
        <f t="shared" ref="O266:O275" si="239">ROUND(CP266,2)</f>
        <v>8246.7900000000009</v>
      </c>
      <c r="P266">
        <f t="shared" ref="P266:P275" si="240">ROUND((ROUND((AC266*AW266*I266),2)*BC266),2)</f>
        <v>0</v>
      </c>
      <c r="Q266">
        <f>(ROUND((ROUND((((ET266*0.6))*AV266*I266),2)*BB266),2)+ROUND((ROUND(((AE266-((EU266*0.6)))*AV266*I266),2)*BS266),2))</f>
        <v>94.3</v>
      </c>
      <c r="R266">
        <f t="shared" ref="R266:R275" si="241">ROUND((ROUND((AE266*AV266*I266),2)*BS266),2)</f>
        <v>29.68</v>
      </c>
      <c r="S266">
        <f t="shared" ref="S266:S275" si="242">ROUND((ROUND((AF266*AV266*I266),2)*BA266),2)</f>
        <v>8152.49</v>
      </c>
      <c r="T266">
        <f t="shared" ref="T266:T275" si="243">ROUND(CU266*I266,2)</f>
        <v>0</v>
      </c>
      <c r="U266">
        <f t="shared" ref="U266:U275" si="244">CV266*I266</f>
        <v>23.595599999999997</v>
      </c>
      <c r="V266">
        <f t="shared" ref="V266:V275" si="245">CW266*I266</f>
        <v>0</v>
      </c>
      <c r="W266">
        <f t="shared" ref="W266:W275" si="246">ROUND(CX266*I266,2)</f>
        <v>0</v>
      </c>
      <c r="X266">
        <f t="shared" ref="X266:X275" si="247">ROUND(CY266,2)</f>
        <v>5706.74</v>
      </c>
      <c r="Y266">
        <f t="shared" ref="Y266:Y275" si="248">ROUND(CZ266,2)</f>
        <v>3342.52</v>
      </c>
      <c r="AA266">
        <v>53860087</v>
      </c>
      <c r="AB266">
        <f t="shared" ref="AB266:AB275" si="249">ROUND((AC266+AD266+AF266),6)</f>
        <v>408.21600000000001</v>
      </c>
      <c r="AC266">
        <f>ROUND(((ES266*0)),6)</f>
        <v>0</v>
      </c>
      <c r="AD266">
        <f>ROUND(((((ET266*0.6))-((EU266*0.6)))+AE266),6)</f>
        <v>11.946</v>
      </c>
      <c r="AE266">
        <f>ROUND(((EU266*0.6)),6)</f>
        <v>1.44</v>
      </c>
      <c r="AF266">
        <f>ROUND(((EV266*0.6)),6)</f>
        <v>396.27</v>
      </c>
      <c r="AG266">
        <f t="shared" ref="AG266:AG275" si="250">ROUND((AP266),6)</f>
        <v>0</v>
      </c>
      <c r="AH266">
        <f>((EW266*0.6))</f>
        <v>33.707999999999998</v>
      </c>
      <c r="AI266">
        <f>((EX266*0.6))</f>
        <v>0</v>
      </c>
      <c r="AJ266">
        <f t="shared" ref="AJ266:AJ275" si="251">(AS266)</f>
        <v>0</v>
      </c>
      <c r="AK266">
        <v>3446.68</v>
      </c>
      <c r="AL266">
        <v>2766.32</v>
      </c>
      <c r="AM266">
        <v>19.91</v>
      </c>
      <c r="AN266">
        <v>2.4</v>
      </c>
      <c r="AO266">
        <v>660.45</v>
      </c>
      <c r="AP266">
        <v>0</v>
      </c>
      <c r="AQ266">
        <v>56.18</v>
      </c>
      <c r="AR266">
        <v>0</v>
      </c>
      <c r="AS266">
        <v>0</v>
      </c>
      <c r="AT266">
        <v>70</v>
      </c>
      <c r="AU266">
        <v>41</v>
      </c>
      <c r="AV266">
        <v>1</v>
      </c>
      <c r="AW266">
        <v>1</v>
      </c>
      <c r="AZ266">
        <v>1</v>
      </c>
      <c r="BA266">
        <v>29.39</v>
      </c>
      <c r="BB266">
        <v>11.28</v>
      </c>
      <c r="BC266">
        <v>8.0500000000000007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1</v>
      </c>
      <c r="BJ266" t="s">
        <v>528</v>
      </c>
      <c r="BM266">
        <v>1553</v>
      </c>
      <c r="BN266">
        <v>0</v>
      </c>
      <c r="BO266" t="s">
        <v>525</v>
      </c>
      <c r="BP266">
        <v>1</v>
      </c>
      <c r="BQ266">
        <v>30</v>
      </c>
      <c r="BR266">
        <v>0</v>
      </c>
      <c r="BS266">
        <v>29.39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70</v>
      </c>
      <c r="CA266">
        <v>41</v>
      </c>
      <c r="CB266" t="s">
        <v>3</v>
      </c>
      <c r="CE266">
        <v>30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ref="CP266:CP275" si="252">(P266+Q266+S266)</f>
        <v>8246.7899999999991</v>
      </c>
      <c r="CQ266">
        <f t="shared" ref="CQ266:CQ275" si="253">ROUND((ROUND((AC266*AW266*1),2)*BC266),2)</f>
        <v>0</v>
      </c>
      <c r="CR266">
        <f>(ROUND((ROUND((((ET266*0.6))*AV266*1),2)*BB266),2)+ROUND((ROUND(((AE266-((EU266*0.6)))*AV266*1),2)*BS266),2))</f>
        <v>134.80000000000001</v>
      </c>
      <c r="CS266">
        <f t="shared" ref="CS266:CS275" si="254">ROUND((ROUND((AE266*AV266*1),2)*BS266),2)</f>
        <v>42.32</v>
      </c>
      <c r="CT266">
        <f t="shared" ref="CT266:CT275" si="255">ROUND((ROUND((AF266*AV266*1),2)*BA266),2)</f>
        <v>11646.38</v>
      </c>
      <c r="CU266">
        <f t="shared" ref="CU266:CU275" si="256">AG266</f>
        <v>0</v>
      </c>
      <c r="CV266">
        <f t="shared" ref="CV266:CV275" si="257">(AH266*AV266)</f>
        <v>33.707999999999998</v>
      </c>
      <c r="CW266">
        <f t="shared" ref="CW266:CW275" si="258">AI266</f>
        <v>0</v>
      </c>
      <c r="CX266">
        <f t="shared" ref="CX266:CX275" si="259">AJ266</f>
        <v>0</v>
      </c>
      <c r="CY266">
        <f t="shared" ref="CY266:CY275" si="260">S266*(BZ266/100)</f>
        <v>5706.7429999999995</v>
      </c>
      <c r="CZ266">
        <f t="shared" ref="CZ266:CZ275" si="261">S266*(CA266/100)</f>
        <v>3342.5208999999995</v>
      </c>
      <c r="DC266" t="s">
        <v>3</v>
      </c>
      <c r="DD266" t="s">
        <v>35</v>
      </c>
      <c r="DE266" t="s">
        <v>218</v>
      </c>
      <c r="DF266" t="s">
        <v>218</v>
      </c>
      <c r="DG266" t="s">
        <v>218</v>
      </c>
      <c r="DH266" t="s">
        <v>3</v>
      </c>
      <c r="DI266" t="s">
        <v>218</v>
      </c>
      <c r="DJ266" t="s">
        <v>218</v>
      </c>
      <c r="DK266" t="s">
        <v>3</v>
      </c>
      <c r="DL266" t="s">
        <v>3</v>
      </c>
      <c r="DM266" t="s">
        <v>3</v>
      </c>
      <c r="DN266">
        <v>85</v>
      </c>
      <c r="DO266">
        <v>70</v>
      </c>
      <c r="DP266">
        <v>1</v>
      </c>
      <c r="DQ266">
        <v>1</v>
      </c>
      <c r="DU266">
        <v>1010</v>
      </c>
      <c r="DV266" t="s">
        <v>527</v>
      </c>
      <c r="DW266" t="s">
        <v>527</v>
      </c>
      <c r="DX266">
        <v>10</v>
      </c>
      <c r="DZ266" t="s">
        <v>3</v>
      </c>
      <c r="EA266" t="s">
        <v>3</v>
      </c>
      <c r="EB266" t="s">
        <v>3</v>
      </c>
      <c r="EC266" t="s">
        <v>3</v>
      </c>
      <c r="EE266">
        <v>53214302</v>
      </c>
      <c r="EF266">
        <v>30</v>
      </c>
      <c r="EG266" t="s">
        <v>37</v>
      </c>
      <c r="EH266">
        <v>0</v>
      </c>
      <c r="EI266" t="s">
        <v>3</v>
      </c>
      <c r="EJ266">
        <v>1</v>
      </c>
      <c r="EK266">
        <v>1553</v>
      </c>
      <c r="EL266" t="s">
        <v>529</v>
      </c>
      <c r="EM266" t="s">
        <v>530</v>
      </c>
      <c r="EO266" t="s">
        <v>3</v>
      </c>
      <c r="EQ266">
        <v>0</v>
      </c>
      <c r="ER266">
        <v>3446.68</v>
      </c>
      <c r="ES266">
        <v>2766.32</v>
      </c>
      <c r="ET266">
        <v>19.91</v>
      </c>
      <c r="EU266">
        <v>2.4</v>
      </c>
      <c r="EV266">
        <v>660.45</v>
      </c>
      <c r="EW266">
        <v>56.18</v>
      </c>
      <c r="EX266">
        <v>0</v>
      </c>
      <c r="EY266">
        <v>0</v>
      </c>
      <c r="FQ266">
        <v>0</v>
      </c>
      <c r="FR266">
        <f t="shared" ref="FR266:FR275" si="262">ROUND(IF(BI266=3,GM266,0),2)</f>
        <v>0</v>
      </c>
      <c r="FS266">
        <v>0</v>
      </c>
      <c r="FX266">
        <v>85</v>
      </c>
      <c r="FY266">
        <v>70</v>
      </c>
      <c r="GA266" t="s">
        <v>3</v>
      </c>
      <c r="GD266">
        <v>0</v>
      </c>
      <c r="GF266">
        <v>-2091443956</v>
      </c>
      <c r="GG266">
        <v>2</v>
      </c>
      <c r="GH266">
        <v>1</v>
      </c>
      <c r="GI266">
        <v>2</v>
      </c>
      <c r="GJ266">
        <v>0</v>
      </c>
      <c r="GK266">
        <f>ROUND(R266*(R12)/100,2)</f>
        <v>47.49</v>
      </c>
      <c r="GL266">
        <f t="shared" ref="GL266:GL275" si="263">ROUND(IF(AND(BH266=3,BI266=3,FS266&lt;&gt;0),P266,0),2)</f>
        <v>0</v>
      </c>
      <c r="GM266">
        <f t="shared" ref="GM266:GM275" si="264">ROUND(O266+X266+Y266+GK266,2)+GX266</f>
        <v>17343.54</v>
      </c>
      <c r="GN266">
        <f t="shared" ref="GN266:GN275" si="265">IF(OR(BI266=0,BI266=1),GM266,0)</f>
        <v>17343.54</v>
      </c>
      <c r="GO266">
        <f t="shared" ref="GO266:GO275" si="266">IF(BI266=2,GM266,0)</f>
        <v>0</v>
      </c>
      <c r="GP266">
        <f t="shared" ref="GP266:GP275" si="267">IF(BI266=4,GM266+GX266,0)</f>
        <v>0</v>
      </c>
      <c r="GR266">
        <v>0</v>
      </c>
      <c r="GS266">
        <v>3</v>
      </c>
      <c r="GT266">
        <v>0</v>
      </c>
      <c r="GU266" t="s">
        <v>3</v>
      </c>
      <c r="GV266">
        <f t="shared" ref="GV266:GV275" si="268">ROUND((GT266),6)</f>
        <v>0</v>
      </c>
      <c r="GW266">
        <v>1</v>
      </c>
      <c r="GX266">
        <f t="shared" ref="GX266:GX275" si="269">ROUND(HC266*I266,2)</f>
        <v>0</v>
      </c>
      <c r="HA266">
        <v>0</v>
      </c>
      <c r="HB266">
        <v>0</v>
      </c>
      <c r="HC266">
        <f t="shared" ref="HC266:HC275" si="270">GV266*GW266</f>
        <v>0</v>
      </c>
      <c r="HE266" t="s">
        <v>3</v>
      </c>
      <c r="HF266" t="s">
        <v>3</v>
      </c>
      <c r="HM266" t="s">
        <v>3</v>
      </c>
      <c r="HN266" t="s">
        <v>3</v>
      </c>
      <c r="HO266" t="s">
        <v>3</v>
      </c>
      <c r="HP266" t="s">
        <v>3</v>
      </c>
      <c r="HQ266" t="s">
        <v>3</v>
      </c>
      <c r="IK266">
        <v>0</v>
      </c>
    </row>
    <row r="267" spans="1:245" x14ac:dyDescent="0.2">
      <c r="A267">
        <v>17</v>
      </c>
      <c r="B267">
        <v>1</v>
      </c>
      <c r="C267">
        <f>ROW(SmtRes!A294)</f>
        <v>294</v>
      </c>
      <c r="D267">
        <f>ROW(EtalonRes!A408)</f>
        <v>408</v>
      </c>
      <c r="E267" t="s">
        <v>531</v>
      </c>
      <c r="F267" t="s">
        <v>525</v>
      </c>
      <c r="G267" t="s">
        <v>532</v>
      </c>
      <c r="H267" t="s">
        <v>527</v>
      </c>
      <c r="I267">
        <f>ROUND(7/10,9)</f>
        <v>0.7</v>
      </c>
      <c r="J267">
        <v>0</v>
      </c>
      <c r="K267">
        <f>ROUND(7/10,9)</f>
        <v>0.7</v>
      </c>
      <c r="O267">
        <f t="shared" si="239"/>
        <v>31410.17</v>
      </c>
      <c r="P267">
        <f t="shared" si="240"/>
        <v>15588.18</v>
      </c>
      <c r="Q267">
        <f>(ROUND((ROUND((((ET267*1.25))*AV267*I267),2)*BB267),2)+ROUND((ROUND(((AE267-((EU267*1.25)))*AV267*I267),2)*BS267),2))</f>
        <v>196.5</v>
      </c>
      <c r="R267">
        <f t="shared" si="241"/>
        <v>61.72</v>
      </c>
      <c r="S267">
        <f t="shared" si="242"/>
        <v>15625.49</v>
      </c>
      <c r="T267">
        <f t="shared" si="243"/>
        <v>0</v>
      </c>
      <c r="U267">
        <f t="shared" si="244"/>
        <v>45.224899999999998</v>
      </c>
      <c r="V267">
        <f t="shared" si="245"/>
        <v>0</v>
      </c>
      <c r="W267">
        <f t="shared" si="246"/>
        <v>0</v>
      </c>
      <c r="X267">
        <f t="shared" si="247"/>
        <v>10937.84</v>
      </c>
      <c r="Y267">
        <f t="shared" si="248"/>
        <v>6406.45</v>
      </c>
      <c r="AA267">
        <v>53860087</v>
      </c>
      <c r="AB267">
        <f t="shared" si="249"/>
        <v>3550.7249999999999</v>
      </c>
      <c r="AC267">
        <f t="shared" ref="AC267:AC275" si="271">ROUND((ES267),6)</f>
        <v>2766.32</v>
      </c>
      <c r="AD267">
        <f>ROUND(((((ET267*1.25))-((EU267*1.25)))+AE267),6)</f>
        <v>24.887499999999999</v>
      </c>
      <c r="AE267">
        <f>ROUND(((EU267*1.25)),6)</f>
        <v>3</v>
      </c>
      <c r="AF267">
        <f>ROUND(((EV267*1.15)),6)</f>
        <v>759.51750000000004</v>
      </c>
      <c r="AG267">
        <f t="shared" si="250"/>
        <v>0</v>
      </c>
      <c r="AH267">
        <f>((EW267*1.15))</f>
        <v>64.606999999999999</v>
      </c>
      <c r="AI267">
        <f>((EX267*1.25))</f>
        <v>0</v>
      </c>
      <c r="AJ267">
        <f t="shared" si="251"/>
        <v>0</v>
      </c>
      <c r="AK267">
        <v>3446.68</v>
      </c>
      <c r="AL267">
        <v>2766.32</v>
      </c>
      <c r="AM267">
        <v>19.91</v>
      </c>
      <c r="AN267">
        <v>2.4</v>
      </c>
      <c r="AO267">
        <v>660.45</v>
      </c>
      <c r="AP267">
        <v>0</v>
      </c>
      <c r="AQ267">
        <v>56.18</v>
      </c>
      <c r="AR267">
        <v>0</v>
      </c>
      <c r="AS267">
        <v>0</v>
      </c>
      <c r="AT267">
        <v>70</v>
      </c>
      <c r="AU267">
        <v>41</v>
      </c>
      <c r="AV267">
        <v>1</v>
      </c>
      <c r="AW267">
        <v>1</v>
      </c>
      <c r="AZ267">
        <v>1</v>
      </c>
      <c r="BA267">
        <v>29.39</v>
      </c>
      <c r="BB267">
        <v>11.28</v>
      </c>
      <c r="BC267">
        <v>8.0500000000000007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1</v>
      </c>
      <c r="BJ267" t="s">
        <v>528</v>
      </c>
      <c r="BM267">
        <v>1553</v>
      </c>
      <c r="BN267">
        <v>0</v>
      </c>
      <c r="BO267" t="s">
        <v>525</v>
      </c>
      <c r="BP267">
        <v>1</v>
      </c>
      <c r="BQ267">
        <v>30</v>
      </c>
      <c r="BR267">
        <v>0</v>
      </c>
      <c r="BS267">
        <v>29.39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70</v>
      </c>
      <c r="CA267">
        <v>41</v>
      </c>
      <c r="CB267" t="s">
        <v>3</v>
      </c>
      <c r="CE267">
        <v>30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252"/>
        <v>31410.17</v>
      </c>
      <c r="CQ267">
        <f t="shared" si="253"/>
        <v>22268.880000000001</v>
      </c>
      <c r="CR267">
        <f>(ROUND((ROUND((((ET267*1.25))*AV267*1),2)*BB267),2)+ROUND((ROUND(((AE267-((EU267*1.25)))*AV267*1),2)*BS267),2))</f>
        <v>280.76</v>
      </c>
      <c r="CS267">
        <f t="shared" si="254"/>
        <v>88.17</v>
      </c>
      <c r="CT267">
        <f t="shared" si="255"/>
        <v>22322.29</v>
      </c>
      <c r="CU267">
        <f t="shared" si="256"/>
        <v>0</v>
      </c>
      <c r="CV267">
        <f t="shared" si="257"/>
        <v>64.606999999999999</v>
      </c>
      <c r="CW267">
        <f t="shared" si="258"/>
        <v>0</v>
      </c>
      <c r="CX267">
        <f t="shared" si="259"/>
        <v>0</v>
      </c>
      <c r="CY267">
        <f t="shared" si="260"/>
        <v>10937.842999999999</v>
      </c>
      <c r="CZ267">
        <f t="shared" si="261"/>
        <v>6406.4508999999998</v>
      </c>
      <c r="DC267" t="s">
        <v>3</v>
      </c>
      <c r="DD267" t="s">
        <v>3</v>
      </c>
      <c r="DE267" t="s">
        <v>51</v>
      </c>
      <c r="DF267" t="s">
        <v>51</v>
      </c>
      <c r="DG267" t="s">
        <v>52</v>
      </c>
      <c r="DH267" t="s">
        <v>3</v>
      </c>
      <c r="DI267" t="s">
        <v>52</v>
      </c>
      <c r="DJ267" t="s">
        <v>51</v>
      </c>
      <c r="DK267" t="s">
        <v>3</v>
      </c>
      <c r="DL267" t="s">
        <v>3</v>
      </c>
      <c r="DM267" t="s">
        <v>3</v>
      </c>
      <c r="DN267">
        <v>85</v>
      </c>
      <c r="DO267">
        <v>70</v>
      </c>
      <c r="DP267">
        <v>1</v>
      </c>
      <c r="DQ267">
        <v>1</v>
      </c>
      <c r="DU267">
        <v>1010</v>
      </c>
      <c r="DV267" t="s">
        <v>527</v>
      </c>
      <c r="DW267" t="s">
        <v>527</v>
      </c>
      <c r="DX267">
        <v>10</v>
      </c>
      <c r="DZ267" t="s">
        <v>3</v>
      </c>
      <c r="EA267" t="s">
        <v>3</v>
      </c>
      <c r="EB267" t="s">
        <v>3</v>
      </c>
      <c r="EC267" t="s">
        <v>3</v>
      </c>
      <c r="EE267">
        <v>53214302</v>
      </c>
      <c r="EF267">
        <v>30</v>
      </c>
      <c r="EG267" t="s">
        <v>37</v>
      </c>
      <c r="EH267">
        <v>0</v>
      </c>
      <c r="EI267" t="s">
        <v>3</v>
      </c>
      <c r="EJ267">
        <v>1</v>
      </c>
      <c r="EK267">
        <v>1553</v>
      </c>
      <c r="EL267" t="s">
        <v>529</v>
      </c>
      <c r="EM267" t="s">
        <v>530</v>
      </c>
      <c r="EO267" t="s">
        <v>3</v>
      </c>
      <c r="EQ267">
        <v>0</v>
      </c>
      <c r="ER267">
        <v>3446.68</v>
      </c>
      <c r="ES267">
        <v>2766.32</v>
      </c>
      <c r="ET267">
        <v>19.91</v>
      </c>
      <c r="EU267">
        <v>2.4</v>
      </c>
      <c r="EV267">
        <v>660.45</v>
      </c>
      <c r="EW267">
        <v>56.18</v>
      </c>
      <c r="EX267">
        <v>0</v>
      </c>
      <c r="EY267">
        <v>0</v>
      </c>
      <c r="FQ267">
        <v>0</v>
      </c>
      <c r="FR267">
        <f t="shared" si="262"/>
        <v>0</v>
      </c>
      <c r="FS267">
        <v>0</v>
      </c>
      <c r="FX267">
        <v>85</v>
      </c>
      <c r="FY267">
        <v>70</v>
      </c>
      <c r="GA267" t="s">
        <v>3</v>
      </c>
      <c r="GD267">
        <v>0</v>
      </c>
      <c r="GF267">
        <v>-1958755500</v>
      </c>
      <c r="GG267">
        <v>2</v>
      </c>
      <c r="GH267">
        <v>1</v>
      </c>
      <c r="GI267">
        <v>2</v>
      </c>
      <c r="GJ267">
        <v>0</v>
      </c>
      <c r="GK267">
        <f>ROUND(R267*(R12)/100,2)</f>
        <v>98.75</v>
      </c>
      <c r="GL267">
        <f t="shared" si="263"/>
        <v>0</v>
      </c>
      <c r="GM267">
        <f t="shared" si="264"/>
        <v>48853.21</v>
      </c>
      <c r="GN267">
        <f t="shared" si="265"/>
        <v>48853.21</v>
      </c>
      <c r="GO267">
        <f t="shared" si="266"/>
        <v>0</v>
      </c>
      <c r="GP267">
        <f t="shared" si="267"/>
        <v>0</v>
      </c>
      <c r="GR267">
        <v>0</v>
      </c>
      <c r="GS267">
        <v>3</v>
      </c>
      <c r="GT267">
        <v>0</v>
      </c>
      <c r="GU267" t="s">
        <v>3</v>
      </c>
      <c r="GV267">
        <f t="shared" si="268"/>
        <v>0</v>
      </c>
      <c r="GW267">
        <v>1</v>
      </c>
      <c r="GX267">
        <f t="shared" si="269"/>
        <v>0</v>
      </c>
      <c r="HA267">
        <v>0</v>
      </c>
      <c r="HB267">
        <v>0</v>
      </c>
      <c r="HC267">
        <f t="shared" si="270"/>
        <v>0</v>
      </c>
      <c r="HE267" t="s">
        <v>3</v>
      </c>
      <c r="HF267" t="s">
        <v>3</v>
      </c>
      <c r="HM267" t="s">
        <v>3</v>
      </c>
      <c r="HN267" t="s">
        <v>3</v>
      </c>
      <c r="HO267" t="s">
        <v>3</v>
      </c>
      <c r="HP267" t="s">
        <v>3</v>
      </c>
      <c r="HQ267" t="s">
        <v>3</v>
      </c>
      <c r="IK267">
        <v>0</v>
      </c>
    </row>
    <row r="268" spans="1:245" x14ac:dyDescent="0.2">
      <c r="A268">
        <v>18</v>
      </c>
      <c r="B268">
        <v>1</v>
      </c>
      <c r="C268">
        <v>292</v>
      </c>
      <c r="E268" t="s">
        <v>533</v>
      </c>
      <c r="F268" t="s">
        <v>534</v>
      </c>
      <c r="G268" t="s">
        <v>535</v>
      </c>
      <c r="H268" t="s">
        <v>536</v>
      </c>
      <c r="I268">
        <f>I267*J268</f>
        <v>7</v>
      </c>
      <c r="J268">
        <v>10</v>
      </c>
      <c r="K268">
        <v>10</v>
      </c>
      <c r="O268">
        <f t="shared" si="239"/>
        <v>197443.37</v>
      </c>
      <c r="P268">
        <f t="shared" si="240"/>
        <v>197443.37</v>
      </c>
      <c r="Q268">
        <f>(ROUND((ROUND(((ET268)*AV268*I268),2)*BB268),2)+ROUND((ROUND(((AE268-(EU268))*AV268*I268),2)*BS268),2))</f>
        <v>0</v>
      </c>
      <c r="R268">
        <f t="shared" si="241"/>
        <v>0</v>
      </c>
      <c r="S268">
        <f t="shared" si="242"/>
        <v>0</v>
      </c>
      <c r="T268">
        <f t="shared" si="243"/>
        <v>0</v>
      </c>
      <c r="U268">
        <f t="shared" si="244"/>
        <v>0</v>
      </c>
      <c r="V268">
        <f t="shared" si="245"/>
        <v>0</v>
      </c>
      <c r="W268">
        <f t="shared" si="246"/>
        <v>0</v>
      </c>
      <c r="X268">
        <f t="shared" si="247"/>
        <v>0</v>
      </c>
      <c r="Y268">
        <f t="shared" si="248"/>
        <v>0</v>
      </c>
      <c r="AA268">
        <v>53860087</v>
      </c>
      <c r="AB268">
        <f t="shared" si="249"/>
        <v>4764.5600000000004</v>
      </c>
      <c r="AC268">
        <f t="shared" si="271"/>
        <v>4764.5600000000004</v>
      </c>
      <c r="AD268">
        <f>ROUND((((ET268)-(EU268))+AE268),6)</f>
        <v>0</v>
      </c>
      <c r="AE268">
        <f>ROUND((EU268),6)</f>
        <v>0</v>
      </c>
      <c r="AF268">
        <f>ROUND((EV268),6)</f>
        <v>0</v>
      </c>
      <c r="AG268">
        <f t="shared" si="250"/>
        <v>0</v>
      </c>
      <c r="AH268">
        <f>(EW268)</f>
        <v>0</v>
      </c>
      <c r="AI268">
        <f>(EX268)</f>
        <v>0</v>
      </c>
      <c r="AJ268">
        <f t="shared" si="251"/>
        <v>0</v>
      </c>
      <c r="AK268">
        <v>4764.5600000000004</v>
      </c>
      <c r="AL268">
        <v>4764.5600000000004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5.92</v>
      </c>
      <c r="BD268" t="s">
        <v>3</v>
      </c>
      <c r="BE268" t="s">
        <v>3</v>
      </c>
      <c r="BF268" t="s">
        <v>3</v>
      </c>
      <c r="BG268" t="s">
        <v>3</v>
      </c>
      <c r="BH268">
        <v>3</v>
      </c>
      <c r="BI268">
        <v>1</v>
      </c>
      <c r="BJ268" t="s">
        <v>537</v>
      </c>
      <c r="BM268">
        <v>1553</v>
      </c>
      <c r="BN268">
        <v>0</v>
      </c>
      <c r="BO268" t="s">
        <v>534</v>
      </c>
      <c r="BP268">
        <v>1</v>
      </c>
      <c r="BQ268">
        <v>30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0</v>
      </c>
      <c r="CA268">
        <v>0</v>
      </c>
      <c r="CB268" t="s">
        <v>3</v>
      </c>
      <c r="CE268">
        <v>30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252"/>
        <v>197443.37</v>
      </c>
      <c r="CQ268">
        <f t="shared" si="253"/>
        <v>28206.2</v>
      </c>
      <c r="CR268">
        <f>(ROUND((ROUND(((ET268)*AV268*1),2)*BB268),2)+ROUND((ROUND(((AE268-(EU268))*AV268*1),2)*BS268),2))</f>
        <v>0</v>
      </c>
      <c r="CS268">
        <f t="shared" si="254"/>
        <v>0</v>
      </c>
      <c r="CT268">
        <f t="shared" si="255"/>
        <v>0</v>
      </c>
      <c r="CU268">
        <f t="shared" si="256"/>
        <v>0</v>
      </c>
      <c r="CV268">
        <f t="shared" si="257"/>
        <v>0</v>
      </c>
      <c r="CW268">
        <f t="shared" si="258"/>
        <v>0</v>
      </c>
      <c r="CX268">
        <f t="shared" si="259"/>
        <v>0</v>
      </c>
      <c r="CY268">
        <f t="shared" si="260"/>
        <v>0</v>
      </c>
      <c r="CZ268">
        <f t="shared" si="261"/>
        <v>0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85</v>
      </c>
      <c r="DO268">
        <v>70</v>
      </c>
      <c r="DP268">
        <v>1</v>
      </c>
      <c r="DQ268">
        <v>1</v>
      </c>
      <c r="DU268">
        <v>1010</v>
      </c>
      <c r="DV268" t="s">
        <v>536</v>
      </c>
      <c r="DW268" t="s">
        <v>536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53214302</v>
      </c>
      <c r="EF268">
        <v>30</v>
      </c>
      <c r="EG268" t="s">
        <v>37</v>
      </c>
      <c r="EH268">
        <v>0</v>
      </c>
      <c r="EI268" t="s">
        <v>3</v>
      </c>
      <c r="EJ268">
        <v>1</v>
      </c>
      <c r="EK268">
        <v>1553</v>
      </c>
      <c r="EL268" t="s">
        <v>529</v>
      </c>
      <c r="EM268" t="s">
        <v>530</v>
      </c>
      <c r="EO268" t="s">
        <v>3</v>
      </c>
      <c r="EQ268">
        <v>0</v>
      </c>
      <c r="ER268">
        <v>4764.5600000000004</v>
      </c>
      <c r="ES268">
        <v>4764.5600000000004</v>
      </c>
      <c r="ET268">
        <v>0</v>
      </c>
      <c r="EU268">
        <v>0</v>
      </c>
      <c r="EV268">
        <v>0</v>
      </c>
      <c r="EW268">
        <v>0</v>
      </c>
      <c r="EX268">
        <v>0</v>
      </c>
      <c r="FQ268">
        <v>0</v>
      </c>
      <c r="FR268">
        <f t="shared" si="262"/>
        <v>0</v>
      </c>
      <c r="FS268">
        <v>0</v>
      </c>
      <c r="FX268">
        <v>85</v>
      </c>
      <c r="FY268">
        <v>70</v>
      </c>
      <c r="GA268" t="s">
        <v>3</v>
      </c>
      <c r="GD268">
        <v>0</v>
      </c>
      <c r="GF268">
        <v>-1843065761</v>
      </c>
      <c r="GG268">
        <v>2</v>
      </c>
      <c r="GH268">
        <v>1</v>
      </c>
      <c r="GI268">
        <v>2</v>
      </c>
      <c r="GJ268">
        <v>0</v>
      </c>
      <c r="GK268">
        <f>ROUND(R268*(R12)/100,2)</f>
        <v>0</v>
      </c>
      <c r="GL268">
        <f t="shared" si="263"/>
        <v>0</v>
      </c>
      <c r="GM268">
        <f t="shared" si="264"/>
        <v>197443.37</v>
      </c>
      <c r="GN268">
        <f t="shared" si="265"/>
        <v>197443.37</v>
      </c>
      <c r="GO268">
        <f t="shared" si="266"/>
        <v>0</v>
      </c>
      <c r="GP268">
        <f t="shared" si="267"/>
        <v>0</v>
      </c>
      <c r="GR268">
        <v>0</v>
      </c>
      <c r="GS268">
        <v>3</v>
      </c>
      <c r="GT268">
        <v>0</v>
      </c>
      <c r="GU268" t="s">
        <v>3</v>
      </c>
      <c r="GV268">
        <f t="shared" si="268"/>
        <v>0</v>
      </c>
      <c r="GW268">
        <v>1</v>
      </c>
      <c r="GX268">
        <f t="shared" si="269"/>
        <v>0</v>
      </c>
      <c r="HA268">
        <v>0</v>
      </c>
      <c r="HB268">
        <v>0</v>
      </c>
      <c r="HC268">
        <f t="shared" si="270"/>
        <v>0</v>
      </c>
      <c r="HE268" t="s">
        <v>3</v>
      </c>
      <c r="HF268" t="s">
        <v>3</v>
      </c>
      <c r="HM268" t="s">
        <v>3</v>
      </c>
      <c r="HN268" t="s">
        <v>3</v>
      </c>
      <c r="HO268" t="s">
        <v>3</v>
      </c>
      <c r="HP268" t="s">
        <v>3</v>
      </c>
      <c r="HQ268" t="s">
        <v>3</v>
      </c>
      <c r="IK268">
        <v>0</v>
      </c>
    </row>
    <row r="269" spans="1:245" x14ac:dyDescent="0.2">
      <c r="A269">
        <v>17</v>
      </c>
      <c r="B269">
        <v>1</v>
      </c>
      <c r="C269">
        <f>ROW(SmtRes!A301)</f>
        <v>301</v>
      </c>
      <c r="D269">
        <f>ROW(EtalonRes!A415)</f>
        <v>415</v>
      </c>
      <c r="E269" t="s">
        <v>538</v>
      </c>
      <c r="F269" t="s">
        <v>539</v>
      </c>
      <c r="G269" t="s">
        <v>540</v>
      </c>
      <c r="H269" t="s">
        <v>541</v>
      </c>
      <c r="I269">
        <v>7</v>
      </c>
      <c r="J269">
        <v>0</v>
      </c>
      <c r="K269">
        <v>7</v>
      </c>
      <c r="O269">
        <f t="shared" si="239"/>
        <v>3729.4</v>
      </c>
      <c r="P269">
        <f t="shared" si="240"/>
        <v>16.53</v>
      </c>
      <c r="Q269">
        <f>(ROUND((ROUND((((ET269*1.25))*AV269*I269),2)*BB269),2)+ROUND((ROUND(((AE269-((EU269*1.25)))*AV269*I269),2)*BS269),2))</f>
        <v>192.54</v>
      </c>
      <c r="R269">
        <f t="shared" si="241"/>
        <v>5.29</v>
      </c>
      <c r="S269">
        <f t="shared" si="242"/>
        <v>3520.33</v>
      </c>
      <c r="T269">
        <f t="shared" si="243"/>
        <v>0</v>
      </c>
      <c r="U269">
        <f t="shared" si="244"/>
        <v>8.9354999999999993</v>
      </c>
      <c r="V269">
        <f t="shared" si="245"/>
        <v>0</v>
      </c>
      <c r="W269">
        <f t="shared" si="246"/>
        <v>0</v>
      </c>
      <c r="X269">
        <f t="shared" si="247"/>
        <v>2640.25</v>
      </c>
      <c r="Y269">
        <f t="shared" si="248"/>
        <v>1443.34</v>
      </c>
      <c r="AA269">
        <v>53860087</v>
      </c>
      <c r="AB269">
        <f t="shared" si="249"/>
        <v>20.047000000000001</v>
      </c>
      <c r="AC269">
        <f t="shared" si="271"/>
        <v>0.41</v>
      </c>
      <c r="AD269">
        <f>ROUND(((((ET269*1.25))-((EU269*1.25)))+AE269),6)</f>
        <v>2.5249999999999999</v>
      </c>
      <c r="AE269">
        <f>ROUND(((EU269*1.25)),6)</f>
        <v>2.5000000000000001E-2</v>
      </c>
      <c r="AF269">
        <f>ROUND(((EV269*1.15)),6)</f>
        <v>17.111999999999998</v>
      </c>
      <c r="AG269">
        <f t="shared" si="250"/>
        <v>0</v>
      </c>
      <c r="AH269">
        <f>((EW269*1.15))</f>
        <v>1.2765</v>
      </c>
      <c r="AI269">
        <f>((EX269*1.25))</f>
        <v>0</v>
      </c>
      <c r="AJ269">
        <f t="shared" si="251"/>
        <v>0</v>
      </c>
      <c r="AK269">
        <v>17.309999999999999</v>
      </c>
      <c r="AL269">
        <v>0.41</v>
      </c>
      <c r="AM269">
        <v>2.02</v>
      </c>
      <c r="AN269">
        <v>0.02</v>
      </c>
      <c r="AO269">
        <v>14.88</v>
      </c>
      <c r="AP269">
        <v>0</v>
      </c>
      <c r="AQ269">
        <v>1.1100000000000001</v>
      </c>
      <c r="AR269">
        <v>0</v>
      </c>
      <c r="AS269">
        <v>0</v>
      </c>
      <c r="AT269">
        <v>75</v>
      </c>
      <c r="AU269">
        <v>41</v>
      </c>
      <c r="AV269">
        <v>1</v>
      </c>
      <c r="AW269">
        <v>1</v>
      </c>
      <c r="AZ269">
        <v>1</v>
      </c>
      <c r="BA269">
        <v>29.39</v>
      </c>
      <c r="BB269">
        <v>10.89</v>
      </c>
      <c r="BC269">
        <v>5.76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1</v>
      </c>
      <c r="BJ269" t="s">
        <v>542</v>
      </c>
      <c r="BM269">
        <v>87</v>
      </c>
      <c r="BN269">
        <v>0</v>
      </c>
      <c r="BO269" t="s">
        <v>539</v>
      </c>
      <c r="BP269">
        <v>1</v>
      </c>
      <c r="BQ269">
        <v>30</v>
      </c>
      <c r="BR269">
        <v>0</v>
      </c>
      <c r="BS269">
        <v>29.39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75</v>
      </c>
      <c r="CA269">
        <v>41</v>
      </c>
      <c r="CB269" t="s">
        <v>3</v>
      </c>
      <c r="CE269">
        <v>30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252"/>
        <v>3729.4</v>
      </c>
      <c r="CQ269">
        <f t="shared" si="253"/>
        <v>2.36</v>
      </c>
      <c r="CR269">
        <f>(ROUND((ROUND((((ET269*1.25))*AV269*1),2)*BB269),2)+ROUND((ROUND(((AE269-((EU269*1.25)))*AV269*1),2)*BS269),2))</f>
        <v>27.55</v>
      </c>
      <c r="CS269">
        <f t="shared" si="254"/>
        <v>0.88</v>
      </c>
      <c r="CT269">
        <f t="shared" si="255"/>
        <v>502.86</v>
      </c>
      <c r="CU269">
        <f t="shared" si="256"/>
        <v>0</v>
      </c>
      <c r="CV269">
        <f t="shared" si="257"/>
        <v>1.2765</v>
      </c>
      <c r="CW269">
        <f t="shared" si="258"/>
        <v>0</v>
      </c>
      <c r="CX269">
        <f t="shared" si="259"/>
        <v>0</v>
      </c>
      <c r="CY269">
        <f t="shared" si="260"/>
        <v>2640.2474999999999</v>
      </c>
      <c r="CZ269">
        <f t="shared" si="261"/>
        <v>1443.3353</v>
      </c>
      <c r="DC269" t="s">
        <v>3</v>
      </c>
      <c r="DD269" t="s">
        <v>3</v>
      </c>
      <c r="DE269" t="s">
        <v>51</v>
      </c>
      <c r="DF269" t="s">
        <v>51</v>
      </c>
      <c r="DG269" t="s">
        <v>52</v>
      </c>
      <c r="DH269" t="s">
        <v>3</v>
      </c>
      <c r="DI269" t="s">
        <v>52</v>
      </c>
      <c r="DJ269" t="s">
        <v>51</v>
      </c>
      <c r="DK269" t="s">
        <v>3</v>
      </c>
      <c r="DL269" t="s">
        <v>3</v>
      </c>
      <c r="DM269" t="s">
        <v>3</v>
      </c>
      <c r="DN269">
        <v>91</v>
      </c>
      <c r="DO269">
        <v>70</v>
      </c>
      <c r="DP269">
        <v>1</v>
      </c>
      <c r="DQ269">
        <v>1</v>
      </c>
      <c r="DU269">
        <v>1013</v>
      </c>
      <c r="DV269" t="s">
        <v>541</v>
      </c>
      <c r="DW269" t="s">
        <v>541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53212836</v>
      </c>
      <c r="EF269">
        <v>30</v>
      </c>
      <c r="EG269" t="s">
        <v>37</v>
      </c>
      <c r="EH269">
        <v>0</v>
      </c>
      <c r="EI269" t="s">
        <v>3</v>
      </c>
      <c r="EJ269">
        <v>1</v>
      </c>
      <c r="EK269">
        <v>87</v>
      </c>
      <c r="EL269" t="s">
        <v>543</v>
      </c>
      <c r="EM269" t="s">
        <v>544</v>
      </c>
      <c r="EO269" t="s">
        <v>3</v>
      </c>
      <c r="EQ269">
        <v>0</v>
      </c>
      <c r="ER269">
        <v>17.309999999999999</v>
      </c>
      <c r="ES269">
        <v>0.41</v>
      </c>
      <c r="ET269">
        <v>2.02</v>
      </c>
      <c r="EU269">
        <v>0.02</v>
      </c>
      <c r="EV269">
        <v>14.88</v>
      </c>
      <c r="EW269">
        <v>1.1100000000000001</v>
      </c>
      <c r="EX269">
        <v>0</v>
      </c>
      <c r="EY269">
        <v>0</v>
      </c>
      <c r="FQ269">
        <v>0</v>
      </c>
      <c r="FR269">
        <f t="shared" si="262"/>
        <v>0</v>
      </c>
      <c r="FS269">
        <v>0</v>
      </c>
      <c r="FX269">
        <v>91</v>
      </c>
      <c r="FY269">
        <v>70</v>
      </c>
      <c r="GA269" t="s">
        <v>3</v>
      </c>
      <c r="GD269">
        <v>0</v>
      </c>
      <c r="GF269">
        <v>-331001616</v>
      </c>
      <c r="GG269">
        <v>2</v>
      </c>
      <c r="GH269">
        <v>1</v>
      </c>
      <c r="GI269">
        <v>2</v>
      </c>
      <c r="GJ269">
        <v>0</v>
      </c>
      <c r="GK269">
        <f>ROUND(R269*(R12)/100,2)</f>
        <v>8.4600000000000009</v>
      </c>
      <c r="GL269">
        <f t="shared" si="263"/>
        <v>0</v>
      </c>
      <c r="GM269">
        <f t="shared" si="264"/>
        <v>7821.45</v>
      </c>
      <c r="GN269">
        <f t="shared" si="265"/>
        <v>7821.45</v>
      </c>
      <c r="GO269">
        <f t="shared" si="266"/>
        <v>0</v>
      </c>
      <c r="GP269">
        <f t="shared" si="267"/>
        <v>0</v>
      </c>
      <c r="GR269">
        <v>0</v>
      </c>
      <c r="GS269">
        <v>3</v>
      </c>
      <c r="GT269">
        <v>0</v>
      </c>
      <c r="GU269" t="s">
        <v>3</v>
      </c>
      <c r="GV269">
        <f t="shared" si="268"/>
        <v>0</v>
      </c>
      <c r="GW269">
        <v>1</v>
      </c>
      <c r="GX269">
        <f t="shared" si="269"/>
        <v>0</v>
      </c>
      <c r="HA269">
        <v>0</v>
      </c>
      <c r="HB269">
        <v>0</v>
      </c>
      <c r="HC269">
        <f t="shared" si="270"/>
        <v>0</v>
      </c>
      <c r="HE269" t="s">
        <v>3</v>
      </c>
      <c r="HF269" t="s">
        <v>3</v>
      </c>
      <c r="HM269" t="s">
        <v>3</v>
      </c>
      <c r="HN269" t="s">
        <v>3</v>
      </c>
      <c r="HO269" t="s">
        <v>3</v>
      </c>
      <c r="HP269" t="s">
        <v>3</v>
      </c>
      <c r="HQ269" t="s">
        <v>3</v>
      </c>
      <c r="IK269">
        <v>0</v>
      </c>
    </row>
    <row r="270" spans="1:245" x14ac:dyDescent="0.2">
      <c r="A270">
        <v>18</v>
      </c>
      <c r="B270">
        <v>1</v>
      </c>
      <c r="C270">
        <v>301</v>
      </c>
      <c r="E270" t="s">
        <v>545</v>
      </c>
      <c r="F270" t="s">
        <v>546</v>
      </c>
      <c r="G270" t="s">
        <v>547</v>
      </c>
      <c r="H270" t="s">
        <v>536</v>
      </c>
      <c r="I270">
        <f>I269*J270</f>
        <v>7</v>
      </c>
      <c r="J270">
        <v>1</v>
      </c>
      <c r="K270">
        <v>1</v>
      </c>
      <c r="O270">
        <f t="shared" si="239"/>
        <v>12415.88</v>
      </c>
      <c r="P270">
        <f t="shared" si="240"/>
        <v>12415.88</v>
      </c>
      <c r="Q270">
        <f>(ROUND((ROUND(((ET270)*AV270*I270),2)*BB270),2)+ROUND((ROUND(((AE270-(EU270))*AV270*I270),2)*BS270),2))</f>
        <v>0</v>
      </c>
      <c r="R270">
        <f t="shared" si="241"/>
        <v>0</v>
      </c>
      <c r="S270">
        <f t="shared" si="242"/>
        <v>0</v>
      </c>
      <c r="T270">
        <f t="shared" si="243"/>
        <v>0</v>
      </c>
      <c r="U270">
        <f t="shared" si="244"/>
        <v>0</v>
      </c>
      <c r="V270">
        <f t="shared" si="245"/>
        <v>0</v>
      </c>
      <c r="W270">
        <f t="shared" si="246"/>
        <v>0</v>
      </c>
      <c r="X270">
        <f t="shared" si="247"/>
        <v>0</v>
      </c>
      <c r="Y270">
        <f t="shared" si="248"/>
        <v>0</v>
      </c>
      <c r="AA270">
        <v>53860087</v>
      </c>
      <c r="AB270">
        <f t="shared" si="249"/>
        <v>267.93</v>
      </c>
      <c r="AC270">
        <f t="shared" si="271"/>
        <v>267.93</v>
      </c>
      <c r="AD270">
        <f>ROUND((((ET270)-(EU270))+AE270),6)</f>
        <v>0</v>
      </c>
      <c r="AE270">
        <f t="shared" ref="AE270:AF272" si="272">ROUND((EU270),6)</f>
        <v>0</v>
      </c>
      <c r="AF270">
        <f t="shared" si="272"/>
        <v>0</v>
      </c>
      <c r="AG270">
        <f t="shared" si="250"/>
        <v>0</v>
      </c>
      <c r="AH270">
        <f t="shared" ref="AH270:AI272" si="273">(EW270)</f>
        <v>0</v>
      </c>
      <c r="AI270">
        <f t="shared" si="273"/>
        <v>0</v>
      </c>
      <c r="AJ270">
        <f t="shared" si="251"/>
        <v>0</v>
      </c>
      <c r="AK270">
        <v>267.93</v>
      </c>
      <c r="AL270">
        <v>267.93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6.62</v>
      </c>
      <c r="BD270" t="s">
        <v>3</v>
      </c>
      <c r="BE270" t="s">
        <v>3</v>
      </c>
      <c r="BF270" t="s">
        <v>3</v>
      </c>
      <c r="BG270" t="s">
        <v>3</v>
      </c>
      <c r="BH270">
        <v>3</v>
      </c>
      <c r="BI270">
        <v>1</v>
      </c>
      <c r="BJ270" t="s">
        <v>548</v>
      </c>
      <c r="BM270">
        <v>87</v>
      </c>
      <c r="BN270">
        <v>0</v>
      </c>
      <c r="BO270" t="s">
        <v>546</v>
      </c>
      <c r="BP270">
        <v>1</v>
      </c>
      <c r="BQ270">
        <v>30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0</v>
      </c>
      <c r="CA270">
        <v>0</v>
      </c>
      <c r="CB270" t="s">
        <v>3</v>
      </c>
      <c r="CE270">
        <v>30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252"/>
        <v>12415.88</v>
      </c>
      <c r="CQ270">
        <f t="shared" si="253"/>
        <v>1773.7</v>
      </c>
      <c r="CR270">
        <f>(ROUND((ROUND(((ET270)*AV270*1),2)*BB270),2)+ROUND((ROUND(((AE270-(EU270))*AV270*1),2)*BS270),2))</f>
        <v>0</v>
      </c>
      <c r="CS270">
        <f t="shared" si="254"/>
        <v>0</v>
      </c>
      <c r="CT270">
        <f t="shared" si="255"/>
        <v>0</v>
      </c>
      <c r="CU270">
        <f t="shared" si="256"/>
        <v>0</v>
      </c>
      <c r="CV270">
        <f t="shared" si="257"/>
        <v>0</v>
      </c>
      <c r="CW270">
        <f t="shared" si="258"/>
        <v>0</v>
      </c>
      <c r="CX270">
        <f t="shared" si="259"/>
        <v>0</v>
      </c>
      <c r="CY270">
        <f t="shared" si="260"/>
        <v>0</v>
      </c>
      <c r="CZ270">
        <f t="shared" si="261"/>
        <v>0</v>
      </c>
      <c r="DC270" t="s">
        <v>3</v>
      </c>
      <c r="DD270" t="s">
        <v>3</v>
      </c>
      <c r="DE270" t="s">
        <v>3</v>
      </c>
      <c r="DF270" t="s">
        <v>3</v>
      </c>
      <c r="DG270" t="s">
        <v>3</v>
      </c>
      <c r="DH270" t="s">
        <v>3</v>
      </c>
      <c r="DI270" t="s">
        <v>3</v>
      </c>
      <c r="DJ270" t="s">
        <v>3</v>
      </c>
      <c r="DK270" t="s">
        <v>3</v>
      </c>
      <c r="DL270" t="s">
        <v>3</v>
      </c>
      <c r="DM270" t="s">
        <v>3</v>
      </c>
      <c r="DN270">
        <v>91</v>
      </c>
      <c r="DO270">
        <v>70</v>
      </c>
      <c r="DP270">
        <v>1</v>
      </c>
      <c r="DQ270">
        <v>1</v>
      </c>
      <c r="DU270">
        <v>1010</v>
      </c>
      <c r="DV270" t="s">
        <v>536</v>
      </c>
      <c r="DW270" t="s">
        <v>536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53212836</v>
      </c>
      <c r="EF270">
        <v>30</v>
      </c>
      <c r="EG270" t="s">
        <v>37</v>
      </c>
      <c r="EH270">
        <v>0</v>
      </c>
      <c r="EI270" t="s">
        <v>3</v>
      </c>
      <c r="EJ270">
        <v>1</v>
      </c>
      <c r="EK270">
        <v>87</v>
      </c>
      <c r="EL270" t="s">
        <v>543</v>
      </c>
      <c r="EM270" t="s">
        <v>544</v>
      </c>
      <c r="EO270" t="s">
        <v>3</v>
      </c>
      <c r="EQ270">
        <v>0</v>
      </c>
      <c r="ER270">
        <v>267.93</v>
      </c>
      <c r="ES270">
        <v>267.93</v>
      </c>
      <c r="ET270">
        <v>0</v>
      </c>
      <c r="EU270">
        <v>0</v>
      </c>
      <c r="EV270">
        <v>0</v>
      </c>
      <c r="EW270">
        <v>0</v>
      </c>
      <c r="EX270">
        <v>0</v>
      </c>
      <c r="FQ270">
        <v>0</v>
      </c>
      <c r="FR270">
        <f t="shared" si="262"/>
        <v>0</v>
      </c>
      <c r="FS270">
        <v>0</v>
      </c>
      <c r="FX270">
        <v>91</v>
      </c>
      <c r="FY270">
        <v>70</v>
      </c>
      <c r="GA270" t="s">
        <v>3</v>
      </c>
      <c r="GD270">
        <v>0</v>
      </c>
      <c r="GF270">
        <v>-1210024702</v>
      </c>
      <c r="GG270">
        <v>2</v>
      </c>
      <c r="GH270">
        <v>1</v>
      </c>
      <c r="GI270">
        <v>2</v>
      </c>
      <c r="GJ270">
        <v>0</v>
      </c>
      <c r="GK270">
        <f>ROUND(R270*(R12)/100,2)</f>
        <v>0</v>
      </c>
      <c r="GL270">
        <f t="shared" si="263"/>
        <v>0</v>
      </c>
      <c r="GM270">
        <f t="shared" si="264"/>
        <v>12415.88</v>
      </c>
      <c r="GN270">
        <f t="shared" si="265"/>
        <v>12415.88</v>
      </c>
      <c r="GO270">
        <f t="shared" si="266"/>
        <v>0</v>
      </c>
      <c r="GP270">
        <f t="shared" si="267"/>
        <v>0</v>
      </c>
      <c r="GR270">
        <v>0</v>
      </c>
      <c r="GS270">
        <v>3</v>
      </c>
      <c r="GT270">
        <v>0</v>
      </c>
      <c r="GU270" t="s">
        <v>3</v>
      </c>
      <c r="GV270">
        <f t="shared" si="268"/>
        <v>0</v>
      </c>
      <c r="GW270">
        <v>1</v>
      </c>
      <c r="GX270">
        <f t="shared" si="269"/>
        <v>0</v>
      </c>
      <c r="HA270">
        <v>0</v>
      </c>
      <c r="HB270">
        <v>0</v>
      </c>
      <c r="HC270">
        <f t="shared" si="270"/>
        <v>0</v>
      </c>
      <c r="HE270" t="s">
        <v>3</v>
      </c>
      <c r="HF270" t="s">
        <v>3</v>
      </c>
      <c r="HM270" t="s">
        <v>3</v>
      </c>
      <c r="HN270" t="s">
        <v>3</v>
      </c>
      <c r="HO270" t="s">
        <v>3</v>
      </c>
      <c r="HP270" t="s">
        <v>3</v>
      </c>
      <c r="HQ270" t="s">
        <v>3</v>
      </c>
      <c r="IK270">
        <v>0</v>
      </c>
    </row>
    <row r="271" spans="1:245" x14ac:dyDescent="0.2">
      <c r="A271">
        <v>17</v>
      </c>
      <c r="B271">
        <v>1</v>
      </c>
      <c r="C271">
        <f>ROW(SmtRes!A304)</f>
        <v>304</v>
      </c>
      <c r="D271">
        <f>ROW(EtalonRes!A418)</f>
        <v>418</v>
      </c>
      <c r="E271" t="s">
        <v>549</v>
      </c>
      <c r="F271" t="s">
        <v>550</v>
      </c>
      <c r="G271" t="s">
        <v>551</v>
      </c>
      <c r="H271" t="s">
        <v>28</v>
      </c>
      <c r="I271">
        <f>ROUND(5/100,9)</f>
        <v>0.05</v>
      </c>
      <c r="J271">
        <v>0</v>
      </c>
      <c r="K271">
        <f>ROUND(5/100,9)</f>
        <v>0.05</v>
      </c>
      <c r="O271">
        <f t="shared" si="239"/>
        <v>6656.84</v>
      </c>
      <c r="P271">
        <f t="shared" si="240"/>
        <v>0</v>
      </c>
      <c r="Q271">
        <f>(ROUND((ROUND(((ET271)*AV271*I271),2)*BB271),2)+ROUND((ROUND(((AE271-(EU271))*AV271*I271),2)*BS271),2))</f>
        <v>0</v>
      </c>
      <c r="R271">
        <f t="shared" si="241"/>
        <v>0</v>
      </c>
      <c r="S271">
        <f t="shared" si="242"/>
        <v>6656.84</v>
      </c>
      <c r="T271">
        <f t="shared" si="243"/>
        <v>0</v>
      </c>
      <c r="U271">
        <f t="shared" si="244"/>
        <v>19.260000000000002</v>
      </c>
      <c r="V271">
        <f t="shared" si="245"/>
        <v>0</v>
      </c>
      <c r="W271">
        <f t="shared" si="246"/>
        <v>0</v>
      </c>
      <c r="X271">
        <f t="shared" si="247"/>
        <v>5525.18</v>
      </c>
      <c r="Y271">
        <f t="shared" si="248"/>
        <v>2729.3</v>
      </c>
      <c r="AA271">
        <v>53860087</v>
      </c>
      <c r="AB271">
        <f t="shared" si="249"/>
        <v>4529.95</v>
      </c>
      <c r="AC271">
        <f t="shared" si="271"/>
        <v>0</v>
      </c>
      <c r="AD271">
        <f>ROUND((((ET271)-(EU271))+AE271),6)</f>
        <v>0</v>
      </c>
      <c r="AE271">
        <f t="shared" si="272"/>
        <v>0</v>
      </c>
      <c r="AF271">
        <f t="shared" si="272"/>
        <v>4529.95</v>
      </c>
      <c r="AG271">
        <f t="shared" si="250"/>
        <v>0</v>
      </c>
      <c r="AH271">
        <f t="shared" si="273"/>
        <v>385.2</v>
      </c>
      <c r="AI271">
        <f t="shared" si="273"/>
        <v>0</v>
      </c>
      <c r="AJ271">
        <f t="shared" si="251"/>
        <v>0</v>
      </c>
      <c r="AK271">
        <v>4529.95</v>
      </c>
      <c r="AL271">
        <v>0</v>
      </c>
      <c r="AM271">
        <v>0</v>
      </c>
      <c r="AN271">
        <v>0</v>
      </c>
      <c r="AO271">
        <v>4529.95</v>
      </c>
      <c r="AP271">
        <v>0</v>
      </c>
      <c r="AQ271">
        <v>385.2</v>
      </c>
      <c r="AR271">
        <v>0</v>
      </c>
      <c r="AS271">
        <v>0</v>
      </c>
      <c r="AT271">
        <v>83</v>
      </c>
      <c r="AU271">
        <v>41</v>
      </c>
      <c r="AV271">
        <v>1</v>
      </c>
      <c r="AW271">
        <v>1</v>
      </c>
      <c r="AZ271">
        <v>1</v>
      </c>
      <c r="BA271">
        <v>29.39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1</v>
      </c>
      <c r="BJ271" t="s">
        <v>552</v>
      </c>
      <c r="BM271">
        <v>454</v>
      </c>
      <c r="BN271">
        <v>0</v>
      </c>
      <c r="BO271" t="s">
        <v>550</v>
      </c>
      <c r="BP271">
        <v>1</v>
      </c>
      <c r="BQ271">
        <v>60</v>
      </c>
      <c r="BR271">
        <v>0</v>
      </c>
      <c r="BS271">
        <v>29.39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83</v>
      </c>
      <c r="CA271">
        <v>41</v>
      </c>
      <c r="CB271" t="s">
        <v>3</v>
      </c>
      <c r="CE271">
        <v>30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252"/>
        <v>6656.84</v>
      </c>
      <c r="CQ271">
        <f t="shared" si="253"/>
        <v>0</v>
      </c>
      <c r="CR271">
        <f>(ROUND((ROUND(((ET271)*AV271*1),2)*BB271),2)+ROUND((ROUND(((AE271-(EU271))*AV271*1),2)*BS271),2))</f>
        <v>0</v>
      </c>
      <c r="CS271">
        <f t="shared" si="254"/>
        <v>0</v>
      </c>
      <c r="CT271">
        <f t="shared" si="255"/>
        <v>133135.23000000001</v>
      </c>
      <c r="CU271">
        <f t="shared" si="256"/>
        <v>0</v>
      </c>
      <c r="CV271">
        <f t="shared" si="257"/>
        <v>385.2</v>
      </c>
      <c r="CW271">
        <f t="shared" si="258"/>
        <v>0</v>
      </c>
      <c r="CX271">
        <f t="shared" si="259"/>
        <v>0</v>
      </c>
      <c r="CY271">
        <f t="shared" si="260"/>
        <v>5525.1772000000001</v>
      </c>
      <c r="CZ271">
        <f t="shared" si="261"/>
        <v>2729.3044</v>
      </c>
      <c r="DC271" t="s">
        <v>3</v>
      </c>
      <c r="DD271" t="s">
        <v>3</v>
      </c>
      <c r="DE271" t="s">
        <v>3</v>
      </c>
      <c r="DF271" t="s">
        <v>3</v>
      </c>
      <c r="DG271" t="s">
        <v>3</v>
      </c>
      <c r="DH271" t="s">
        <v>3</v>
      </c>
      <c r="DI271" t="s">
        <v>3</v>
      </c>
      <c r="DJ271" t="s">
        <v>3</v>
      </c>
      <c r="DK271" t="s">
        <v>3</v>
      </c>
      <c r="DL271" t="s">
        <v>3</v>
      </c>
      <c r="DM271" t="s">
        <v>3</v>
      </c>
      <c r="DN271">
        <v>100</v>
      </c>
      <c r="DO271">
        <v>64</v>
      </c>
      <c r="DP271">
        <v>1</v>
      </c>
      <c r="DQ271">
        <v>1</v>
      </c>
      <c r="DU271">
        <v>1005</v>
      </c>
      <c r="DV271" t="s">
        <v>28</v>
      </c>
      <c r="DW271" t="s">
        <v>28</v>
      </c>
      <c r="DX271">
        <v>100</v>
      </c>
      <c r="DZ271" t="s">
        <v>3</v>
      </c>
      <c r="EA271" t="s">
        <v>3</v>
      </c>
      <c r="EB271" t="s">
        <v>3</v>
      </c>
      <c r="EC271" t="s">
        <v>3</v>
      </c>
      <c r="EE271">
        <v>53213203</v>
      </c>
      <c r="EF271">
        <v>60</v>
      </c>
      <c r="EG271" t="s">
        <v>22</v>
      </c>
      <c r="EH271">
        <v>0</v>
      </c>
      <c r="EI271" t="s">
        <v>3</v>
      </c>
      <c r="EJ271">
        <v>1</v>
      </c>
      <c r="EK271">
        <v>454</v>
      </c>
      <c r="EL271" t="s">
        <v>553</v>
      </c>
      <c r="EM271" t="s">
        <v>554</v>
      </c>
      <c r="EO271" t="s">
        <v>3</v>
      </c>
      <c r="EQ271">
        <v>0</v>
      </c>
      <c r="ER271">
        <v>4529.95</v>
      </c>
      <c r="ES271">
        <v>0</v>
      </c>
      <c r="ET271">
        <v>0</v>
      </c>
      <c r="EU271">
        <v>0</v>
      </c>
      <c r="EV271">
        <v>4529.95</v>
      </c>
      <c r="EW271">
        <v>385.2</v>
      </c>
      <c r="EX271">
        <v>0</v>
      </c>
      <c r="EY271">
        <v>0</v>
      </c>
      <c r="FQ271">
        <v>0</v>
      </c>
      <c r="FR271">
        <f t="shared" si="262"/>
        <v>0</v>
      </c>
      <c r="FS271">
        <v>0</v>
      </c>
      <c r="FX271">
        <v>100</v>
      </c>
      <c r="FY271">
        <v>64</v>
      </c>
      <c r="GA271" t="s">
        <v>3</v>
      </c>
      <c r="GD271">
        <v>0</v>
      </c>
      <c r="GF271">
        <v>514641237</v>
      </c>
      <c r="GG271">
        <v>2</v>
      </c>
      <c r="GH271">
        <v>1</v>
      </c>
      <c r="GI271">
        <v>2</v>
      </c>
      <c r="GJ271">
        <v>0</v>
      </c>
      <c r="GK271">
        <f>ROUND(R271*(R12)/100,2)</f>
        <v>0</v>
      </c>
      <c r="GL271">
        <f t="shared" si="263"/>
        <v>0</v>
      </c>
      <c r="GM271">
        <f t="shared" si="264"/>
        <v>14911.32</v>
      </c>
      <c r="GN271">
        <f t="shared" si="265"/>
        <v>14911.32</v>
      </c>
      <c r="GO271">
        <f t="shared" si="266"/>
        <v>0</v>
      </c>
      <c r="GP271">
        <f t="shared" si="267"/>
        <v>0</v>
      </c>
      <c r="GR271">
        <v>0</v>
      </c>
      <c r="GS271">
        <v>3</v>
      </c>
      <c r="GT271">
        <v>0</v>
      </c>
      <c r="GU271" t="s">
        <v>3</v>
      </c>
      <c r="GV271">
        <f t="shared" si="268"/>
        <v>0</v>
      </c>
      <c r="GW271">
        <v>1</v>
      </c>
      <c r="GX271">
        <f t="shared" si="269"/>
        <v>0</v>
      </c>
      <c r="HA271">
        <v>0</v>
      </c>
      <c r="HB271">
        <v>0</v>
      </c>
      <c r="HC271">
        <f t="shared" si="270"/>
        <v>0</v>
      </c>
      <c r="HE271" t="s">
        <v>3</v>
      </c>
      <c r="HF271" t="s">
        <v>3</v>
      </c>
      <c r="HM271" t="s">
        <v>3</v>
      </c>
      <c r="HN271" t="s">
        <v>3</v>
      </c>
      <c r="HO271" t="s">
        <v>3</v>
      </c>
      <c r="HP271" t="s">
        <v>3</v>
      </c>
      <c r="HQ271" t="s">
        <v>3</v>
      </c>
      <c r="IK271">
        <v>0</v>
      </c>
    </row>
    <row r="272" spans="1:245" x14ac:dyDescent="0.2">
      <c r="A272">
        <v>18</v>
      </c>
      <c r="B272">
        <v>1</v>
      </c>
      <c r="C272">
        <v>303</v>
      </c>
      <c r="E272" t="s">
        <v>555</v>
      </c>
      <c r="F272" t="s">
        <v>78</v>
      </c>
      <c r="G272" t="s">
        <v>79</v>
      </c>
      <c r="H272" t="s">
        <v>70</v>
      </c>
      <c r="I272">
        <f>I271*J272</f>
        <v>0.21999999999999997</v>
      </c>
      <c r="J272">
        <v>4.3999999999999995</v>
      </c>
      <c r="K272">
        <v>4.4000000000000004</v>
      </c>
      <c r="O272">
        <f t="shared" si="239"/>
        <v>913.46</v>
      </c>
      <c r="P272">
        <f t="shared" si="240"/>
        <v>913.46</v>
      </c>
      <c r="Q272">
        <f>(ROUND((ROUND(((ET272)*AV272*I272),2)*BB272),2)+ROUND((ROUND(((AE272-(EU272))*AV272*I272),2)*BS272),2))</f>
        <v>0</v>
      </c>
      <c r="R272">
        <f t="shared" si="241"/>
        <v>0</v>
      </c>
      <c r="S272">
        <f t="shared" si="242"/>
        <v>0</v>
      </c>
      <c r="T272">
        <f t="shared" si="243"/>
        <v>0</v>
      </c>
      <c r="U272">
        <f t="shared" si="244"/>
        <v>0</v>
      </c>
      <c r="V272">
        <f t="shared" si="245"/>
        <v>0</v>
      </c>
      <c r="W272">
        <f t="shared" si="246"/>
        <v>0</v>
      </c>
      <c r="X272">
        <f t="shared" si="247"/>
        <v>0</v>
      </c>
      <c r="Y272">
        <f t="shared" si="248"/>
        <v>0</v>
      </c>
      <c r="AA272">
        <v>53860087</v>
      </c>
      <c r="AB272">
        <f t="shared" si="249"/>
        <v>481.69</v>
      </c>
      <c r="AC272">
        <f t="shared" si="271"/>
        <v>481.69</v>
      </c>
      <c r="AD272">
        <f>ROUND((((ET272)-(EU272))+AE272),6)</f>
        <v>0</v>
      </c>
      <c r="AE272">
        <f t="shared" si="272"/>
        <v>0</v>
      </c>
      <c r="AF272">
        <f t="shared" si="272"/>
        <v>0</v>
      </c>
      <c r="AG272">
        <f t="shared" si="250"/>
        <v>0</v>
      </c>
      <c r="AH272">
        <f t="shared" si="273"/>
        <v>0</v>
      </c>
      <c r="AI272">
        <f t="shared" si="273"/>
        <v>0</v>
      </c>
      <c r="AJ272">
        <f t="shared" si="251"/>
        <v>0</v>
      </c>
      <c r="AK272">
        <v>481.69</v>
      </c>
      <c r="AL272">
        <v>481.69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1</v>
      </c>
      <c r="AW272">
        <v>1</v>
      </c>
      <c r="AZ272">
        <v>1</v>
      </c>
      <c r="BA272">
        <v>1</v>
      </c>
      <c r="BB272">
        <v>1</v>
      </c>
      <c r="BC272">
        <v>8.6199999999999992</v>
      </c>
      <c r="BD272" t="s">
        <v>3</v>
      </c>
      <c r="BE272" t="s">
        <v>3</v>
      </c>
      <c r="BF272" t="s">
        <v>3</v>
      </c>
      <c r="BG272" t="s">
        <v>3</v>
      </c>
      <c r="BH272">
        <v>3</v>
      </c>
      <c r="BI272">
        <v>1</v>
      </c>
      <c r="BJ272" t="s">
        <v>80</v>
      </c>
      <c r="BM272">
        <v>454</v>
      </c>
      <c r="BN272">
        <v>0</v>
      </c>
      <c r="BO272" t="s">
        <v>78</v>
      </c>
      <c r="BP272">
        <v>1</v>
      </c>
      <c r="BQ272">
        <v>60</v>
      </c>
      <c r="BR272">
        <v>0</v>
      </c>
      <c r="BS272">
        <v>1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0</v>
      </c>
      <c r="CA272">
        <v>0</v>
      </c>
      <c r="CB272" t="s">
        <v>3</v>
      </c>
      <c r="CE272">
        <v>30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si="252"/>
        <v>913.46</v>
      </c>
      <c r="CQ272">
        <f t="shared" si="253"/>
        <v>4152.17</v>
      </c>
      <c r="CR272">
        <f>(ROUND((ROUND(((ET272)*AV272*1),2)*BB272),2)+ROUND((ROUND(((AE272-(EU272))*AV272*1),2)*BS272),2))</f>
        <v>0</v>
      </c>
      <c r="CS272">
        <f t="shared" si="254"/>
        <v>0</v>
      </c>
      <c r="CT272">
        <f t="shared" si="255"/>
        <v>0</v>
      </c>
      <c r="CU272">
        <f t="shared" si="256"/>
        <v>0</v>
      </c>
      <c r="CV272">
        <f t="shared" si="257"/>
        <v>0</v>
      </c>
      <c r="CW272">
        <f t="shared" si="258"/>
        <v>0</v>
      </c>
      <c r="CX272">
        <f t="shared" si="259"/>
        <v>0</v>
      </c>
      <c r="CY272">
        <f t="shared" si="260"/>
        <v>0</v>
      </c>
      <c r="CZ272">
        <f t="shared" si="261"/>
        <v>0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100</v>
      </c>
      <c r="DO272">
        <v>64</v>
      </c>
      <c r="DP272">
        <v>1</v>
      </c>
      <c r="DQ272">
        <v>1</v>
      </c>
      <c r="DU272">
        <v>1007</v>
      </c>
      <c r="DV272" t="s">
        <v>70</v>
      </c>
      <c r="DW272" t="s">
        <v>70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53213203</v>
      </c>
      <c r="EF272">
        <v>60</v>
      </c>
      <c r="EG272" t="s">
        <v>22</v>
      </c>
      <c r="EH272">
        <v>0</v>
      </c>
      <c r="EI272" t="s">
        <v>3</v>
      </c>
      <c r="EJ272">
        <v>1</v>
      </c>
      <c r="EK272">
        <v>454</v>
      </c>
      <c r="EL272" t="s">
        <v>553</v>
      </c>
      <c r="EM272" t="s">
        <v>554</v>
      </c>
      <c r="EO272" t="s">
        <v>3</v>
      </c>
      <c r="EQ272">
        <v>0</v>
      </c>
      <c r="ER272">
        <v>481.69</v>
      </c>
      <c r="ES272">
        <v>481.69</v>
      </c>
      <c r="ET272">
        <v>0</v>
      </c>
      <c r="EU272">
        <v>0</v>
      </c>
      <c r="EV272">
        <v>0</v>
      </c>
      <c r="EW272">
        <v>0</v>
      </c>
      <c r="EX272">
        <v>0</v>
      </c>
      <c r="FQ272">
        <v>0</v>
      </c>
      <c r="FR272">
        <f t="shared" si="262"/>
        <v>0</v>
      </c>
      <c r="FS272">
        <v>0</v>
      </c>
      <c r="FX272">
        <v>100</v>
      </c>
      <c r="FY272">
        <v>64</v>
      </c>
      <c r="GA272" t="s">
        <v>3</v>
      </c>
      <c r="GD272">
        <v>0</v>
      </c>
      <c r="GF272">
        <v>847230343</v>
      </c>
      <c r="GG272">
        <v>2</v>
      </c>
      <c r="GH272">
        <v>1</v>
      </c>
      <c r="GI272">
        <v>2</v>
      </c>
      <c r="GJ272">
        <v>0</v>
      </c>
      <c r="GK272">
        <f>ROUND(R272*(R12)/100,2)</f>
        <v>0</v>
      </c>
      <c r="GL272">
        <f t="shared" si="263"/>
        <v>0</v>
      </c>
      <c r="GM272">
        <f t="shared" si="264"/>
        <v>913.46</v>
      </c>
      <c r="GN272">
        <f t="shared" si="265"/>
        <v>913.46</v>
      </c>
      <c r="GO272">
        <f t="shared" si="266"/>
        <v>0</v>
      </c>
      <c r="GP272">
        <f t="shared" si="267"/>
        <v>0</v>
      </c>
      <c r="GR272">
        <v>0</v>
      </c>
      <c r="GS272">
        <v>3</v>
      </c>
      <c r="GT272">
        <v>0</v>
      </c>
      <c r="GU272" t="s">
        <v>3</v>
      </c>
      <c r="GV272">
        <f t="shared" si="268"/>
        <v>0</v>
      </c>
      <c r="GW272">
        <v>1</v>
      </c>
      <c r="GX272">
        <f t="shared" si="269"/>
        <v>0</v>
      </c>
      <c r="HA272">
        <v>0</v>
      </c>
      <c r="HB272">
        <v>0</v>
      </c>
      <c r="HC272">
        <f t="shared" si="270"/>
        <v>0</v>
      </c>
      <c r="HE272" t="s">
        <v>3</v>
      </c>
      <c r="HF272" t="s">
        <v>3</v>
      </c>
      <c r="HM272" t="s">
        <v>3</v>
      </c>
      <c r="HN272" t="s">
        <v>3</v>
      </c>
      <c r="HO272" t="s">
        <v>3</v>
      </c>
      <c r="HP272" t="s">
        <v>3</v>
      </c>
      <c r="HQ272" t="s">
        <v>3</v>
      </c>
      <c r="IK272">
        <v>0</v>
      </c>
    </row>
    <row r="273" spans="1:245" x14ac:dyDescent="0.2">
      <c r="A273">
        <v>17</v>
      </c>
      <c r="B273">
        <v>1</v>
      </c>
      <c r="C273">
        <f>ROW(SmtRes!A311)</f>
        <v>311</v>
      </c>
      <c r="D273">
        <f>ROW(EtalonRes!A425)</f>
        <v>425</v>
      </c>
      <c r="E273" t="s">
        <v>556</v>
      </c>
      <c r="F273" t="s">
        <v>292</v>
      </c>
      <c r="G273" t="s">
        <v>293</v>
      </c>
      <c r="H273" t="s">
        <v>28</v>
      </c>
      <c r="I273">
        <f>ROUND(5/100,9)</f>
        <v>0.05</v>
      </c>
      <c r="J273">
        <v>0</v>
      </c>
      <c r="K273">
        <f>ROUND(5/100,9)</f>
        <v>0.05</v>
      </c>
      <c r="O273">
        <f t="shared" si="239"/>
        <v>975.62</v>
      </c>
      <c r="P273">
        <f t="shared" si="240"/>
        <v>121.91</v>
      </c>
      <c r="Q273">
        <f>(ROUND((ROUND((((ET273*1.25))*AV273*I273),2)*BB273),2)+ROUND((ROUND(((AE273-((EU273*1.25)))*AV273*I273),2)*BS273),2))</f>
        <v>9.34</v>
      </c>
      <c r="R273">
        <f t="shared" si="241"/>
        <v>3.53</v>
      </c>
      <c r="S273">
        <f t="shared" si="242"/>
        <v>844.37</v>
      </c>
      <c r="T273">
        <f t="shared" si="243"/>
        <v>0</v>
      </c>
      <c r="U273">
        <f t="shared" si="244"/>
        <v>2.5047000000000001</v>
      </c>
      <c r="V273">
        <f t="shared" si="245"/>
        <v>0</v>
      </c>
      <c r="W273">
        <f t="shared" si="246"/>
        <v>0</v>
      </c>
      <c r="X273">
        <f t="shared" si="247"/>
        <v>700.83</v>
      </c>
      <c r="Y273">
        <f t="shared" si="248"/>
        <v>346.19</v>
      </c>
      <c r="AA273">
        <v>53860087</v>
      </c>
      <c r="AB273">
        <f t="shared" si="249"/>
        <v>1389.652</v>
      </c>
      <c r="AC273">
        <f t="shared" si="271"/>
        <v>799.49</v>
      </c>
      <c r="AD273">
        <f>ROUND(((((ET273*1.25))-((EU273*1.25)))+AE273),6)</f>
        <v>15.5875</v>
      </c>
      <c r="AE273">
        <f>ROUND(((EU273*1.25)),6)</f>
        <v>2.3624999999999998</v>
      </c>
      <c r="AF273">
        <f>ROUND(((EV273*1.15)),6)</f>
        <v>574.57449999999994</v>
      </c>
      <c r="AG273">
        <f t="shared" si="250"/>
        <v>0</v>
      </c>
      <c r="AH273">
        <f>((EW273*1.15))</f>
        <v>50.094000000000001</v>
      </c>
      <c r="AI273">
        <f>((EX273*1.25))</f>
        <v>0</v>
      </c>
      <c r="AJ273">
        <f t="shared" si="251"/>
        <v>0</v>
      </c>
      <c r="AK273">
        <v>1311.59</v>
      </c>
      <c r="AL273">
        <v>799.49</v>
      </c>
      <c r="AM273">
        <v>12.47</v>
      </c>
      <c r="AN273">
        <v>1.89</v>
      </c>
      <c r="AO273">
        <v>499.63</v>
      </c>
      <c r="AP273">
        <v>0</v>
      </c>
      <c r="AQ273">
        <v>43.56</v>
      </c>
      <c r="AR273">
        <v>0</v>
      </c>
      <c r="AS273">
        <v>0</v>
      </c>
      <c r="AT273">
        <v>83</v>
      </c>
      <c r="AU273">
        <v>41</v>
      </c>
      <c r="AV273">
        <v>1</v>
      </c>
      <c r="AW273">
        <v>1</v>
      </c>
      <c r="AZ273">
        <v>1</v>
      </c>
      <c r="BA273">
        <v>29.39</v>
      </c>
      <c r="BB273">
        <v>11.98</v>
      </c>
      <c r="BC273">
        <v>3.05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1</v>
      </c>
      <c r="BJ273" t="s">
        <v>294</v>
      </c>
      <c r="BM273">
        <v>2087</v>
      </c>
      <c r="BN273">
        <v>0</v>
      </c>
      <c r="BO273" t="s">
        <v>292</v>
      </c>
      <c r="BP273">
        <v>1</v>
      </c>
      <c r="BQ273">
        <v>30</v>
      </c>
      <c r="BR273">
        <v>0</v>
      </c>
      <c r="BS273">
        <v>29.39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83</v>
      </c>
      <c r="CA273">
        <v>41</v>
      </c>
      <c r="CB273" t="s">
        <v>3</v>
      </c>
      <c r="CE273">
        <v>30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252"/>
        <v>975.62</v>
      </c>
      <c r="CQ273">
        <f t="shared" si="253"/>
        <v>2438.44</v>
      </c>
      <c r="CR273">
        <f>(ROUND((ROUND((((ET273*1.25))*AV273*1),2)*BB273),2)+ROUND((ROUND(((AE273-((EU273*1.25)))*AV273*1),2)*BS273),2))</f>
        <v>186.77</v>
      </c>
      <c r="CS273">
        <f t="shared" si="254"/>
        <v>69.36</v>
      </c>
      <c r="CT273">
        <f t="shared" si="255"/>
        <v>16886.61</v>
      </c>
      <c r="CU273">
        <f t="shared" si="256"/>
        <v>0</v>
      </c>
      <c r="CV273">
        <f t="shared" si="257"/>
        <v>50.094000000000001</v>
      </c>
      <c r="CW273">
        <f t="shared" si="258"/>
        <v>0</v>
      </c>
      <c r="CX273">
        <f t="shared" si="259"/>
        <v>0</v>
      </c>
      <c r="CY273">
        <f t="shared" si="260"/>
        <v>700.82709999999997</v>
      </c>
      <c r="CZ273">
        <f t="shared" si="261"/>
        <v>346.19169999999997</v>
      </c>
      <c r="DC273" t="s">
        <v>3</v>
      </c>
      <c r="DD273" t="s">
        <v>3</v>
      </c>
      <c r="DE273" t="s">
        <v>51</v>
      </c>
      <c r="DF273" t="s">
        <v>51</v>
      </c>
      <c r="DG273" t="s">
        <v>52</v>
      </c>
      <c r="DH273" t="s">
        <v>3</v>
      </c>
      <c r="DI273" t="s">
        <v>52</v>
      </c>
      <c r="DJ273" t="s">
        <v>51</v>
      </c>
      <c r="DK273" t="s">
        <v>3</v>
      </c>
      <c r="DL273" t="s">
        <v>3</v>
      </c>
      <c r="DM273" t="s">
        <v>3</v>
      </c>
      <c r="DN273">
        <v>100</v>
      </c>
      <c r="DO273">
        <v>64</v>
      </c>
      <c r="DP273">
        <v>1</v>
      </c>
      <c r="DQ273">
        <v>1</v>
      </c>
      <c r="DU273">
        <v>1005</v>
      </c>
      <c r="DV273" t="s">
        <v>28</v>
      </c>
      <c r="DW273" t="s">
        <v>28</v>
      </c>
      <c r="DX273">
        <v>100</v>
      </c>
      <c r="DZ273" t="s">
        <v>3</v>
      </c>
      <c r="EA273" t="s">
        <v>3</v>
      </c>
      <c r="EB273" t="s">
        <v>3</v>
      </c>
      <c r="EC273" t="s">
        <v>3</v>
      </c>
      <c r="EE273">
        <v>53214868</v>
      </c>
      <c r="EF273">
        <v>30</v>
      </c>
      <c r="EG273" t="s">
        <v>37</v>
      </c>
      <c r="EH273">
        <v>0</v>
      </c>
      <c r="EI273" t="s">
        <v>3</v>
      </c>
      <c r="EJ273">
        <v>1</v>
      </c>
      <c r="EK273">
        <v>2087</v>
      </c>
      <c r="EL273" t="s">
        <v>146</v>
      </c>
      <c r="EM273" t="s">
        <v>147</v>
      </c>
      <c r="EO273" t="s">
        <v>3</v>
      </c>
      <c r="EQ273">
        <v>0</v>
      </c>
      <c r="ER273">
        <v>1311.59</v>
      </c>
      <c r="ES273">
        <v>799.49</v>
      </c>
      <c r="ET273">
        <v>12.47</v>
      </c>
      <c r="EU273">
        <v>1.89</v>
      </c>
      <c r="EV273">
        <v>499.63</v>
      </c>
      <c r="EW273">
        <v>43.56</v>
      </c>
      <c r="EX273">
        <v>0</v>
      </c>
      <c r="EY273">
        <v>0</v>
      </c>
      <c r="FQ273">
        <v>0</v>
      </c>
      <c r="FR273">
        <f t="shared" si="262"/>
        <v>0</v>
      </c>
      <c r="FS273">
        <v>0</v>
      </c>
      <c r="FX273">
        <v>100</v>
      </c>
      <c r="FY273">
        <v>64</v>
      </c>
      <c r="GA273" t="s">
        <v>3</v>
      </c>
      <c r="GD273">
        <v>0</v>
      </c>
      <c r="GF273">
        <v>-1404964615</v>
      </c>
      <c r="GG273">
        <v>2</v>
      </c>
      <c r="GH273">
        <v>1</v>
      </c>
      <c r="GI273">
        <v>2</v>
      </c>
      <c r="GJ273">
        <v>0</v>
      </c>
      <c r="GK273">
        <f>ROUND(R273*(R12)/100,2)</f>
        <v>5.65</v>
      </c>
      <c r="GL273">
        <f t="shared" si="263"/>
        <v>0</v>
      </c>
      <c r="GM273">
        <f t="shared" si="264"/>
        <v>2028.29</v>
      </c>
      <c r="GN273">
        <f t="shared" si="265"/>
        <v>2028.29</v>
      </c>
      <c r="GO273">
        <f t="shared" si="266"/>
        <v>0</v>
      </c>
      <c r="GP273">
        <f t="shared" si="267"/>
        <v>0</v>
      </c>
      <c r="GR273">
        <v>0</v>
      </c>
      <c r="GS273">
        <v>3</v>
      </c>
      <c r="GT273">
        <v>0</v>
      </c>
      <c r="GU273" t="s">
        <v>3</v>
      </c>
      <c r="GV273">
        <f t="shared" si="268"/>
        <v>0</v>
      </c>
      <c r="GW273">
        <v>1</v>
      </c>
      <c r="GX273">
        <f t="shared" si="269"/>
        <v>0</v>
      </c>
      <c r="HA273">
        <v>0</v>
      </c>
      <c r="HB273">
        <v>0</v>
      </c>
      <c r="HC273">
        <f t="shared" si="270"/>
        <v>0</v>
      </c>
      <c r="HE273" t="s">
        <v>3</v>
      </c>
      <c r="HF273" t="s">
        <v>3</v>
      </c>
      <c r="HM273" t="s">
        <v>3</v>
      </c>
      <c r="HN273" t="s">
        <v>3</v>
      </c>
      <c r="HO273" t="s">
        <v>3</v>
      </c>
      <c r="HP273" t="s">
        <v>3</v>
      </c>
      <c r="HQ273" t="s">
        <v>3</v>
      </c>
      <c r="IK273">
        <v>0</v>
      </c>
    </row>
    <row r="274" spans="1:245" x14ac:dyDescent="0.2">
      <c r="A274">
        <v>18</v>
      </c>
      <c r="B274">
        <v>1</v>
      </c>
      <c r="C274">
        <v>310</v>
      </c>
      <c r="E274" t="s">
        <v>557</v>
      </c>
      <c r="F274" t="s">
        <v>56</v>
      </c>
      <c r="G274" t="s">
        <v>57</v>
      </c>
      <c r="H274" t="s">
        <v>58</v>
      </c>
      <c r="I274">
        <f>I273*J274</f>
        <v>1</v>
      </c>
      <c r="J274">
        <v>20</v>
      </c>
      <c r="K274">
        <v>20</v>
      </c>
      <c r="O274">
        <f t="shared" si="239"/>
        <v>103.75</v>
      </c>
      <c r="P274">
        <f t="shared" si="240"/>
        <v>103.75</v>
      </c>
      <c r="Q274">
        <f>(ROUND((ROUND(((ET274)*AV274*I274),2)*BB274),2)+ROUND((ROUND(((AE274-(EU274))*AV274*I274),2)*BS274),2))</f>
        <v>0</v>
      </c>
      <c r="R274">
        <f t="shared" si="241"/>
        <v>0</v>
      </c>
      <c r="S274">
        <f t="shared" si="242"/>
        <v>0</v>
      </c>
      <c r="T274">
        <f t="shared" si="243"/>
        <v>0</v>
      </c>
      <c r="U274">
        <f t="shared" si="244"/>
        <v>0</v>
      </c>
      <c r="V274">
        <f t="shared" si="245"/>
        <v>0</v>
      </c>
      <c r="W274">
        <f t="shared" si="246"/>
        <v>0</v>
      </c>
      <c r="X274">
        <f t="shared" si="247"/>
        <v>0</v>
      </c>
      <c r="Y274">
        <f t="shared" si="248"/>
        <v>0</v>
      </c>
      <c r="AA274">
        <v>53860087</v>
      </c>
      <c r="AB274">
        <f t="shared" si="249"/>
        <v>28.98</v>
      </c>
      <c r="AC274">
        <f t="shared" si="271"/>
        <v>28.98</v>
      </c>
      <c r="AD274">
        <f>ROUND((((ET274)-(EU274))+AE274),6)</f>
        <v>0</v>
      </c>
      <c r="AE274">
        <f>ROUND((EU274),6)</f>
        <v>0</v>
      </c>
      <c r="AF274">
        <f>ROUND((EV274),6)</f>
        <v>0</v>
      </c>
      <c r="AG274">
        <f t="shared" si="250"/>
        <v>0</v>
      </c>
      <c r="AH274">
        <f>(EW274)</f>
        <v>0</v>
      </c>
      <c r="AI274">
        <f>(EX274)</f>
        <v>0</v>
      </c>
      <c r="AJ274">
        <f t="shared" si="251"/>
        <v>0</v>
      </c>
      <c r="AK274">
        <v>28.98</v>
      </c>
      <c r="AL274">
        <v>28.98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3.58</v>
      </c>
      <c r="BD274" t="s">
        <v>3</v>
      </c>
      <c r="BE274" t="s">
        <v>3</v>
      </c>
      <c r="BF274" t="s">
        <v>3</v>
      </c>
      <c r="BG274" t="s">
        <v>3</v>
      </c>
      <c r="BH274">
        <v>3</v>
      </c>
      <c r="BI274">
        <v>1</v>
      </c>
      <c r="BJ274" t="s">
        <v>59</v>
      </c>
      <c r="BM274">
        <v>2087</v>
      </c>
      <c r="BN274">
        <v>0</v>
      </c>
      <c r="BO274" t="s">
        <v>56</v>
      </c>
      <c r="BP274">
        <v>1</v>
      </c>
      <c r="BQ274">
        <v>30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0</v>
      </c>
      <c r="CA274">
        <v>0</v>
      </c>
      <c r="CB274" t="s">
        <v>3</v>
      </c>
      <c r="CE274">
        <v>30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252"/>
        <v>103.75</v>
      </c>
      <c r="CQ274">
        <f t="shared" si="253"/>
        <v>103.75</v>
      </c>
      <c r="CR274">
        <f>(ROUND((ROUND(((ET274)*AV274*1),2)*BB274),2)+ROUND((ROUND(((AE274-(EU274))*AV274*1),2)*BS274),2))</f>
        <v>0</v>
      </c>
      <c r="CS274">
        <f t="shared" si="254"/>
        <v>0</v>
      </c>
      <c r="CT274">
        <f t="shared" si="255"/>
        <v>0</v>
      </c>
      <c r="CU274">
        <f t="shared" si="256"/>
        <v>0</v>
      </c>
      <c r="CV274">
        <f t="shared" si="257"/>
        <v>0</v>
      </c>
      <c r="CW274">
        <f t="shared" si="258"/>
        <v>0</v>
      </c>
      <c r="CX274">
        <f t="shared" si="259"/>
        <v>0</v>
      </c>
      <c r="CY274">
        <f t="shared" si="260"/>
        <v>0</v>
      </c>
      <c r="CZ274">
        <f t="shared" si="261"/>
        <v>0</v>
      </c>
      <c r="DC274" t="s">
        <v>3</v>
      </c>
      <c r="DD274" t="s">
        <v>3</v>
      </c>
      <c r="DE274" t="s">
        <v>3</v>
      </c>
      <c r="DF274" t="s">
        <v>3</v>
      </c>
      <c r="DG274" t="s">
        <v>3</v>
      </c>
      <c r="DH274" t="s">
        <v>3</v>
      </c>
      <c r="DI274" t="s">
        <v>3</v>
      </c>
      <c r="DJ274" t="s">
        <v>3</v>
      </c>
      <c r="DK274" t="s">
        <v>3</v>
      </c>
      <c r="DL274" t="s">
        <v>3</v>
      </c>
      <c r="DM274" t="s">
        <v>3</v>
      </c>
      <c r="DN274">
        <v>100</v>
      </c>
      <c r="DO274">
        <v>64</v>
      </c>
      <c r="DP274">
        <v>1</v>
      </c>
      <c r="DQ274">
        <v>1</v>
      </c>
      <c r="DU274">
        <v>1009</v>
      </c>
      <c r="DV274" t="s">
        <v>58</v>
      </c>
      <c r="DW274" t="s">
        <v>58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53214868</v>
      </c>
      <c r="EF274">
        <v>30</v>
      </c>
      <c r="EG274" t="s">
        <v>37</v>
      </c>
      <c r="EH274">
        <v>0</v>
      </c>
      <c r="EI274" t="s">
        <v>3</v>
      </c>
      <c r="EJ274">
        <v>1</v>
      </c>
      <c r="EK274">
        <v>2087</v>
      </c>
      <c r="EL274" t="s">
        <v>146</v>
      </c>
      <c r="EM274" t="s">
        <v>147</v>
      </c>
      <c r="EO274" t="s">
        <v>3</v>
      </c>
      <c r="EQ274">
        <v>0</v>
      </c>
      <c r="ER274">
        <v>28.98</v>
      </c>
      <c r="ES274">
        <v>28.98</v>
      </c>
      <c r="ET274">
        <v>0</v>
      </c>
      <c r="EU274">
        <v>0</v>
      </c>
      <c r="EV274">
        <v>0</v>
      </c>
      <c r="EW274">
        <v>0</v>
      </c>
      <c r="EX274">
        <v>0</v>
      </c>
      <c r="FQ274">
        <v>0</v>
      </c>
      <c r="FR274">
        <f t="shared" si="262"/>
        <v>0</v>
      </c>
      <c r="FS274">
        <v>0</v>
      </c>
      <c r="FX274">
        <v>100</v>
      </c>
      <c r="FY274">
        <v>64</v>
      </c>
      <c r="GA274" t="s">
        <v>3</v>
      </c>
      <c r="GD274">
        <v>0</v>
      </c>
      <c r="GF274">
        <v>33071459</v>
      </c>
      <c r="GG274">
        <v>2</v>
      </c>
      <c r="GH274">
        <v>1</v>
      </c>
      <c r="GI274">
        <v>2</v>
      </c>
      <c r="GJ274">
        <v>0</v>
      </c>
      <c r="GK274">
        <f>ROUND(R274*(R12)/100,2)</f>
        <v>0</v>
      </c>
      <c r="GL274">
        <f t="shared" si="263"/>
        <v>0</v>
      </c>
      <c r="GM274">
        <f t="shared" si="264"/>
        <v>103.75</v>
      </c>
      <c r="GN274">
        <f t="shared" si="265"/>
        <v>103.75</v>
      </c>
      <c r="GO274">
        <f t="shared" si="266"/>
        <v>0</v>
      </c>
      <c r="GP274">
        <f t="shared" si="267"/>
        <v>0</v>
      </c>
      <c r="GR274">
        <v>0</v>
      </c>
      <c r="GS274">
        <v>3</v>
      </c>
      <c r="GT274">
        <v>0</v>
      </c>
      <c r="GU274" t="s">
        <v>3</v>
      </c>
      <c r="GV274">
        <f t="shared" si="268"/>
        <v>0</v>
      </c>
      <c r="GW274">
        <v>1</v>
      </c>
      <c r="GX274">
        <f t="shared" si="269"/>
        <v>0</v>
      </c>
      <c r="HA274">
        <v>0</v>
      </c>
      <c r="HB274">
        <v>0</v>
      </c>
      <c r="HC274">
        <f t="shared" si="270"/>
        <v>0</v>
      </c>
      <c r="HE274" t="s">
        <v>3</v>
      </c>
      <c r="HF274" t="s">
        <v>3</v>
      </c>
      <c r="HM274" t="s">
        <v>3</v>
      </c>
      <c r="HN274" t="s">
        <v>3</v>
      </c>
      <c r="HO274" t="s">
        <v>3</v>
      </c>
      <c r="HP274" t="s">
        <v>3</v>
      </c>
      <c r="HQ274" t="s">
        <v>3</v>
      </c>
      <c r="IK274">
        <v>0</v>
      </c>
    </row>
    <row r="275" spans="1:245" x14ac:dyDescent="0.2">
      <c r="A275">
        <v>18</v>
      </c>
      <c r="B275">
        <v>1</v>
      </c>
      <c r="C275">
        <v>311</v>
      </c>
      <c r="E275" t="s">
        <v>558</v>
      </c>
      <c r="F275" t="s">
        <v>89</v>
      </c>
      <c r="G275" t="s">
        <v>976</v>
      </c>
      <c r="H275" t="s">
        <v>58</v>
      </c>
      <c r="I275">
        <f>I273*J275</f>
        <v>1.5</v>
      </c>
      <c r="J275">
        <v>30</v>
      </c>
      <c r="K275">
        <v>30</v>
      </c>
      <c r="O275">
        <f t="shared" si="239"/>
        <v>769.68</v>
      </c>
      <c r="P275">
        <f t="shared" si="240"/>
        <v>769.68</v>
      </c>
      <c r="Q275">
        <f>(ROUND((ROUND(((ET275)*AV275*I275),2)*BB275),2)+ROUND((ROUND(((AE275-(EU275))*AV275*I275),2)*BS275),2))</f>
        <v>0</v>
      </c>
      <c r="R275">
        <f t="shared" si="241"/>
        <v>0</v>
      </c>
      <c r="S275">
        <f t="shared" si="242"/>
        <v>0</v>
      </c>
      <c r="T275">
        <f t="shared" si="243"/>
        <v>0</v>
      </c>
      <c r="U275">
        <f t="shared" si="244"/>
        <v>0</v>
      </c>
      <c r="V275">
        <f t="shared" si="245"/>
        <v>0</v>
      </c>
      <c r="W275">
        <f t="shared" si="246"/>
        <v>0</v>
      </c>
      <c r="X275">
        <f t="shared" si="247"/>
        <v>0</v>
      </c>
      <c r="Y275">
        <f t="shared" si="248"/>
        <v>0</v>
      </c>
      <c r="AA275">
        <v>53860087</v>
      </c>
      <c r="AB275">
        <f t="shared" si="249"/>
        <v>108.25</v>
      </c>
      <c r="AC275">
        <f t="shared" si="271"/>
        <v>108.25</v>
      </c>
      <c r="AD275">
        <f>ROUND((((ET275)-(EU275))+AE275),6)</f>
        <v>0</v>
      </c>
      <c r="AE275">
        <f>ROUND((EU275),6)</f>
        <v>0</v>
      </c>
      <c r="AF275">
        <f>ROUND((EV275),6)</f>
        <v>0</v>
      </c>
      <c r="AG275">
        <f t="shared" si="250"/>
        <v>0</v>
      </c>
      <c r="AH275">
        <f>(EW275)</f>
        <v>0</v>
      </c>
      <c r="AI275">
        <f>(EX275)</f>
        <v>0</v>
      </c>
      <c r="AJ275">
        <f t="shared" si="251"/>
        <v>0</v>
      </c>
      <c r="AK275">
        <v>108.25</v>
      </c>
      <c r="AL275">
        <v>108.25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1</v>
      </c>
      <c r="AW275">
        <v>1</v>
      </c>
      <c r="AZ275">
        <v>1</v>
      </c>
      <c r="BA275">
        <v>1</v>
      </c>
      <c r="BB275">
        <v>1</v>
      </c>
      <c r="BC275">
        <v>4.74</v>
      </c>
      <c r="BD275" t="s">
        <v>3</v>
      </c>
      <c r="BE275" t="s">
        <v>3</v>
      </c>
      <c r="BF275" t="s">
        <v>3</v>
      </c>
      <c r="BG275" t="s">
        <v>3</v>
      </c>
      <c r="BH275">
        <v>3</v>
      </c>
      <c r="BI275">
        <v>1</v>
      </c>
      <c r="BJ275" t="s">
        <v>90</v>
      </c>
      <c r="BM275">
        <v>2087</v>
      </c>
      <c r="BN275">
        <v>0</v>
      </c>
      <c r="BO275" t="s">
        <v>89</v>
      </c>
      <c r="BP275">
        <v>1</v>
      </c>
      <c r="BQ275">
        <v>30</v>
      </c>
      <c r="BR275">
        <v>0</v>
      </c>
      <c r="BS275">
        <v>1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0</v>
      </c>
      <c r="CA275">
        <v>0</v>
      </c>
      <c r="CB275" t="s">
        <v>3</v>
      </c>
      <c r="CE275">
        <v>30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252"/>
        <v>769.68</v>
      </c>
      <c r="CQ275">
        <f t="shared" si="253"/>
        <v>513.11</v>
      </c>
      <c r="CR275">
        <f>(ROUND((ROUND(((ET275)*AV275*1),2)*BB275),2)+ROUND((ROUND(((AE275-(EU275))*AV275*1),2)*BS275),2))</f>
        <v>0</v>
      </c>
      <c r="CS275">
        <f t="shared" si="254"/>
        <v>0</v>
      </c>
      <c r="CT275">
        <f t="shared" si="255"/>
        <v>0</v>
      </c>
      <c r="CU275">
        <f t="shared" si="256"/>
        <v>0</v>
      </c>
      <c r="CV275">
        <f t="shared" si="257"/>
        <v>0</v>
      </c>
      <c r="CW275">
        <f t="shared" si="258"/>
        <v>0</v>
      </c>
      <c r="CX275">
        <f t="shared" si="259"/>
        <v>0</v>
      </c>
      <c r="CY275">
        <f t="shared" si="260"/>
        <v>0</v>
      </c>
      <c r="CZ275">
        <f t="shared" si="261"/>
        <v>0</v>
      </c>
      <c r="DC275" t="s">
        <v>3</v>
      </c>
      <c r="DD275" t="s">
        <v>3</v>
      </c>
      <c r="DE275" t="s">
        <v>3</v>
      </c>
      <c r="DF275" t="s">
        <v>3</v>
      </c>
      <c r="DG275" t="s">
        <v>3</v>
      </c>
      <c r="DH275" t="s">
        <v>3</v>
      </c>
      <c r="DI275" t="s">
        <v>3</v>
      </c>
      <c r="DJ275" t="s">
        <v>3</v>
      </c>
      <c r="DK275" t="s">
        <v>3</v>
      </c>
      <c r="DL275" t="s">
        <v>3</v>
      </c>
      <c r="DM275" t="s">
        <v>3</v>
      </c>
      <c r="DN275">
        <v>100</v>
      </c>
      <c r="DO275">
        <v>64</v>
      </c>
      <c r="DP275">
        <v>1</v>
      </c>
      <c r="DQ275">
        <v>1</v>
      </c>
      <c r="DU275">
        <v>1009</v>
      </c>
      <c r="DV275" t="s">
        <v>58</v>
      </c>
      <c r="DW275" t="s">
        <v>58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53214868</v>
      </c>
      <c r="EF275">
        <v>30</v>
      </c>
      <c r="EG275" t="s">
        <v>37</v>
      </c>
      <c r="EH275">
        <v>0</v>
      </c>
      <c r="EI275" t="s">
        <v>3</v>
      </c>
      <c r="EJ275">
        <v>1</v>
      </c>
      <c r="EK275">
        <v>2087</v>
      </c>
      <c r="EL275" t="s">
        <v>146</v>
      </c>
      <c r="EM275" t="s">
        <v>147</v>
      </c>
      <c r="EO275" t="s">
        <v>3</v>
      </c>
      <c r="EQ275">
        <v>0</v>
      </c>
      <c r="ER275">
        <v>108.25</v>
      </c>
      <c r="ES275">
        <v>108.25</v>
      </c>
      <c r="ET275">
        <v>0</v>
      </c>
      <c r="EU275">
        <v>0</v>
      </c>
      <c r="EV275">
        <v>0</v>
      </c>
      <c r="EW275">
        <v>0</v>
      </c>
      <c r="EX275">
        <v>0</v>
      </c>
      <c r="FQ275">
        <v>0</v>
      </c>
      <c r="FR275">
        <f t="shared" si="262"/>
        <v>0</v>
      </c>
      <c r="FS275">
        <v>0</v>
      </c>
      <c r="FX275">
        <v>100</v>
      </c>
      <c r="FY275">
        <v>64</v>
      </c>
      <c r="GA275" t="s">
        <v>3</v>
      </c>
      <c r="GD275">
        <v>0</v>
      </c>
      <c r="GF275">
        <v>-1515598087</v>
      </c>
      <c r="GG275">
        <v>2</v>
      </c>
      <c r="GH275">
        <v>1</v>
      </c>
      <c r="GI275">
        <v>2</v>
      </c>
      <c r="GJ275">
        <v>0</v>
      </c>
      <c r="GK275">
        <f>ROUND(R275*(R12)/100,2)</f>
        <v>0</v>
      </c>
      <c r="GL275">
        <f t="shared" si="263"/>
        <v>0</v>
      </c>
      <c r="GM275">
        <f t="shared" si="264"/>
        <v>769.68</v>
      </c>
      <c r="GN275">
        <f t="shared" si="265"/>
        <v>769.68</v>
      </c>
      <c r="GO275">
        <f t="shared" si="266"/>
        <v>0</v>
      </c>
      <c r="GP275">
        <f t="shared" si="267"/>
        <v>0</v>
      </c>
      <c r="GR275">
        <v>0</v>
      </c>
      <c r="GS275">
        <v>3</v>
      </c>
      <c r="GT275">
        <v>0</v>
      </c>
      <c r="GU275" t="s">
        <v>3</v>
      </c>
      <c r="GV275">
        <f t="shared" si="268"/>
        <v>0</v>
      </c>
      <c r="GW275">
        <v>1</v>
      </c>
      <c r="GX275">
        <f t="shared" si="269"/>
        <v>0</v>
      </c>
      <c r="HA275">
        <v>0</v>
      </c>
      <c r="HB275">
        <v>0</v>
      </c>
      <c r="HC275">
        <f t="shared" si="270"/>
        <v>0</v>
      </c>
      <c r="HE275" t="s">
        <v>3</v>
      </c>
      <c r="HF275" t="s">
        <v>3</v>
      </c>
      <c r="HM275" t="s">
        <v>3</v>
      </c>
      <c r="HN275" t="s">
        <v>3</v>
      </c>
      <c r="HO275" t="s">
        <v>3</v>
      </c>
      <c r="HP275" t="s">
        <v>3</v>
      </c>
      <c r="HQ275" t="s">
        <v>3</v>
      </c>
      <c r="IK275">
        <v>0</v>
      </c>
    </row>
    <row r="277" spans="1:245" x14ac:dyDescent="0.2">
      <c r="A277" s="2">
        <v>51</v>
      </c>
      <c r="B277" s="2">
        <f>B262</f>
        <v>1</v>
      </c>
      <c r="C277" s="2">
        <f>A262</f>
        <v>4</v>
      </c>
      <c r="D277" s="2">
        <f>ROW(A262)</f>
        <v>262</v>
      </c>
      <c r="E277" s="2"/>
      <c r="F277" s="2" t="str">
        <f>IF(F262&lt;&gt;"",F262,"")</f>
        <v>Новый раздел</v>
      </c>
      <c r="G277" s="2" t="str">
        <f>IF(G262&lt;&gt;"",G262,"")</f>
        <v>Двери</v>
      </c>
      <c r="H277" s="2">
        <v>0</v>
      </c>
      <c r="I277" s="2"/>
      <c r="J277" s="2"/>
      <c r="K277" s="2"/>
      <c r="L277" s="2"/>
      <c r="M277" s="2"/>
      <c r="N277" s="2"/>
      <c r="O277" s="2">
        <f t="shared" ref="O277:T277" si="274">ROUND(AB277,2)</f>
        <v>262664.96000000002</v>
      </c>
      <c r="P277" s="2">
        <f t="shared" si="274"/>
        <v>227372.76</v>
      </c>
      <c r="Q277" s="2">
        <f t="shared" si="274"/>
        <v>492.68</v>
      </c>
      <c r="R277" s="2">
        <f t="shared" si="274"/>
        <v>100.22</v>
      </c>
      <c r="S277" s="2">
        <f t="shared" si="274"/>
        <v>34799.519999999997</v>
      </c>
      <c r="T277" s="2">
        <f t="shared" si="274"/>
        <v>0</v>
      </c>
      <c r="U277" s="2">
        <f>AH277</f>
        <v>99.520700000000005</v>
      </c>
      <c r="V277" s="2">
        <f>AI277</f>
        <v>0</v>
      </c>
      <c r="W277" s="2">
        <f>ROUND(AJ277,2)</f>
        <v>0</v>
      </c>
      <c r="X277" s="2">
        <f>ROUND(AK277,2)</f>
        <v>25510.84</v>
      </c>
      <c r="Y277" s="2">
        <f>ROUND(AL277,2)</f>
        <v>14267.8</v>
      </c>
      <c r="Z277" s="2"/>
      <c r="AA277" s="2"/>
      <c r="AB277" s="2">
        <f>ROUND(SUMIF(AA266:AA275,"=53860087",O266:O275),2)</f>
        <v>262664.96000000002</v>
      </c>
      <c r="AC277" s="2">
        <f>ROUND(SUMIF(AA266:AA275,"=53860087",P266:P275),2)</f>
        <v>227372.76</v>
      </c>
      <c r="AD277" s="2">
        <f>ROUND(SUMIF(AA266:AA275,"=53860087",Q266:Q275),2)</f>
        <v>492.68</v>
      </c>
      <c r="AE277" s="2">
        <f>ROUND(SUMIF(AA266:AA275,"=53860087",R266:R275),2)</f>
        <v>100.22</v>
      </c>
      <c r="AF277" s="2">
        <f>ROUND(SUMIF(AA266:AA275,"=53860087",S266:S275),2)</f>
        <v>34799.519999999997</v>
      </c>
      <c r="AG277" s="2">
        <f>ROUND(SUMIF(AA266:AA275,"=53860087",T266:T275),2)</f>
        <v>0</v>
      </c>
      <c r="AH277" s="2">
        <f>SUMIF(AA266:AA275,"=53860087",U266:U275)</f>
        <v>99.520700000000005</v>
      </c>
      <c r="AI277" s="2">
        <f>SUMIF(AA266:AA275,"=53860087",V266:V275)</f>
        <v>0</v>
      </c>
      <c r="AJ277" s="2">
        <f>ROUND(SUMIF(AA266:AA275,"=53860087",W266:W275),2)</f>
        <v>0</v>
      </c>
      <c r="AK277" s="2">
        <f>ROUND(SUMIF(AA266:AA275,"=53860087",X266:X275),2)</f>
        <v>25510.84</v>
      </c>
      <c r="AL277" s="2">
        <f>ROUND(SUMIF(AA266:AA275,"=53860087",Y266:Y275),2)</f>
        <v>14267.8</v>
      </c>
      <c r="AM277" s="2"/>
      <c r="AN277" s="2"/>
      <c r="AO277" s="2">
        <f t="shared" ref="AO277:BD277" si="275">ROUND(BX277,2)</f>
        <v>0</v>
      </c>
      <c r="AP277" s="2">
        <f t="shared" si="275"/>
        <v>0</v>
      </c>
      <c r="AQ277" s="2">
        <f t="shared" si="275"/>
        <v>0</v>
      </c>
      <c r="AR277" s="2">
        <f t="shared" si="275"/>
        <v>302603.95</v>
      </c>
      <c r="AS277" s="2">
        <f t="shared" si="275"/>
        <v>302603.95</v>
      </c>
      <c r="AT277" s="2">
        <f t="shared" si="275"/>
        <v>0</v>
      </c>
      <c r="AU277" s="2">
        <f t="shared" si="275"/>
        <v>0</v>
      </c>
      <c r="AV277" s="2">
        <f t="shared" si="275"/>
        <v>227372.76</v>
      </c>
      <c r="AW277" s="2">
        <f t="shared" si="275"/>
        <v>227372.76</v>
      </c>
      <c r="AX277" s="2">
        <f t="shared" si="275"/>
        <v>0</v>
      </c>
      <c r="AY277" s="2">
        <f t="shared" si="275"/>
        <v>227372.76</v>
      </c>
      <c r="AZ277" s="2">
        <f t="shared" si="275"/>
        <v>0</v>
      </c>
      <c r="BA277" s="2">
        <f t="shared" si="275"/>
        <v>0</v>
      </c>
      <c r="BB277" s="2">
        <f t="shared" si="275"/>
        <v>0</v>
      </c>
      <c r="BC277" s="2">
        <f t="shared" si="275"/>
        <v>0</v>
      </c>
      <c r="BD277" s="2">
        <f t="shared" si="275"/>
        <v>0</v>
      </c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>
        <f>ROUND(SUMIF(AA266:AA275,"=53860087",FQ266:FQ275),2)</f>
        <v>0</v>
      </c>
      <c r="BY277" s="2">
        <f>ROUND(SUMIF(AA266:AA275,"=53860087",FR266:FR275),2)</f>
        <v>0</v>
      </c>
      <c r="BZ277" s="2">
        <f>ROUND(SUMIF(AA266:AA275,"=53860087",GL266:GL275),2)</f>
        <v>0</v>
      </c>
      <c r="CA277" s="2">
        <f>ROUND(SUMIF(AA266:AA275,"=53860087",GM266:GM275),2)</f>
        <v>302603.95</v>
      </c>
      <c r="CB277" s="2">
        <f>ROUND(SUMIF(AA266:AA275,"=53860087",GN266:GN275),2)</f>
        <v>302603.95</v>
      </c>
      <c r="CC277" s="2">
        <f>ROUND(SUMIF(AA266:AA275,"=53860087",GO266:GO275),2)</f>
        <v>0</v>
      </c>
      <c r="CD277" s="2">
        <f>ROUND(SUMIF(AA266:AA275,"=53860087",GP266:GP275),2)</f>
        <v>0</v>
      </c>
      <c r="CE277" s="2">
        <f>AC277-BX277</f>
        <v>227372.76</v>
      </c>
      <c r="CF277" s="2">
        <f>AC277-BY277</f>
        <v>227372.76</v>
      </c>
      <c r="CG277" s="2">
        <f>BX277-BZ277</f>
        <v>0</v>
      </c>
      <c r="CH277" s="2">
        <f>AC277-BX277-BY277+BZ277</f>
        <v>227372.76</v>
      </c>
      <c r="CI277" s="2">
        <f>BY277-BZ277</f>
        <v>0</v>
      </c>
      <c r="CJ277" s="2">
        <f>ROUND(SUMIF(AA266:AA275,"=53860087",GX266:GX275),2)</f>
        <v>0</v>
      </c>
      <c r="CK277" s="2">
        <f>ROUND(SUMIF(AA266:AA275,"=53860087",GY266:GY275),2)</f>
        <v>0</v>
      </c>
      <c r="CL277" s="2">
        <f>ROUND(SUMIF(AA266:AA275,"=53860087",GZ266:GZ275),2)</f>
        <v>0</v>
      </c>
      <c r="CM277" s="2">
        <f>ROUND(SUMIF(AA266:AA275,"=53860087",HD266:HD275),2)</f>
        <v>0</v>
      </c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3"/>
      <c r="DH277" s="3"/>
      <c r="DI277" s="3"/>
      <c r="DJ277" s="3"/>
      <c r="DK277" s="3"/>
      <c r="DL277" s="3"/>
      <c r="DM277" s="3"/>
      <c r="DN277" s="3"/>
      <c r="DO277" s="3"/>
      <c r="DP277" s="3"/>
      <c r="DQ277" s="3"/>
      <c r="DR277" s="3"/>
      <c r="DS277" s="3"/>
      <c r="DT277" s="3"/>
      <c r="DU277" s="3"/>
      <c r="DV277" s="3"/>
      <c r="DW277" s="3"/>
      <c r="DX277" s="3"/>
      <c r="DY277" s="3"/>
      <c r="DZ277" s="3"/>
      <c r="EA277" s="3"/>
      <c r="EB277" s="3"/>
      <c r="EC277" s="3"/>
      <c r="ED277" s="3"/>
      <c r="EE277" s="3"/>
      <c r="EF277" s="3"/>
      <c r="EG277" s="3"/>
      <c r="EH277" s="3"/>
      <c r="EI277" s="3"/>
      <c r="EJ277" s="3"/>
      <c r="EK277" s="3"/>
      <c r="EL277" s="3"/>
      <c r="EM277" s="3"/>
      <c r="EN277" s="3"/>
      <c r="EO277" s="3"/>
      <c r="EP277" s="3"/>
      <c r="EQ277" s="3"/>
      <c r="ER277" s="3"/>
      <c r="ES277" s="3"/>
      <c r="ET277" s="3"/>
      <c r="EU277" s="3"/>
      <c r="EV277" s="3"/>
      <c r="EW277" s="3"/>
      <c r="EX277" s="3"/>
      <c r="EY277" s="3"/>
      <c r="EZ277" s="3"/>
      <c r="FA277" s="3"/>
      <c r="FB277" s="3"/>
      <c r="FC277" s="3"/>
      <c r="FD277" s="3"/>
      <c r="FE277" s="3"/>
      <c r="FF277" s="3"/>
      <c r="FG277" s="3"/>
      <c r="FH277" s="3"/>
      <c r="FI277" s="3"/>
      <c r="FJ277" s="3"/>
      <c r="FK277" s="3"/>
      <c r="FL277" s="3"/>
      <c r="FM277" s="3"/>
      <c r="FN277" s="3"/>
      <c r="FO277" s="3"/>
      <c r="FP277" s="3"/>
      <c r="FQ277" s="3"/>
      <c r="FR277" s="3"/>
      <c r="FS277" s="3"/>
      <c r="FT277" s="3"/>
      <c r="FU277" s="3"/>
      <c r="FV277" s="3"/>
      <c r="FW277" s="3"/>
      <c r="FX277" s="3"/>
      <c r="FY277" s="3"/>
      <c r="FZ277" s="3"/>
      <c r="GA277" s="3"/>
      <c r="GB277" s="3"/>
      <c r="GC277" s="3"/>
      <c r="GD277" s="3"/>
      <c r="GE277" s="3"/>
      <c r="GF277" s="3"/>
      <c r="GG277" s="3"/>
      <c r="GH277" s="3"/>
      <c r="GI277" s="3"/>
      <c r="GJ277" s="3"/>
      <c r="GK277" s="3"/>
      <c r="GL277" s="3"/>
      <c r="GM277" s="3"/>
      <c r="GN277" s="3"/>
      <c r="GO277" s="3"/>
      <c r="GP277" s="3"/>
      <c r="GQ277" s="3"/>
      <c r="GR277" s="3"/>
      <c r="GS277" s="3"/>
      <c r="GT277" s="3"/>
      <c r="GU277" s="3"/>
      <c r="GV277" s="3"/>
      <c r="GW277" s="3"/>
      <c r="GX277" s="3">
        <v>0</v>
      </c>
    </row>
    <row r="279" spans="1:245" x14ac:dyDescent="0.2">
      <c r="A279" s="4">
        <v>50</v>
      </c>
      <c r="B279" s="4">
        <v>0</v>
      </c>
      <c r="C279" s="4">
        <v>0</v>
      </c>
      <c r="D279" s="4">
        <v>1</v>
      </c>
      <c r="E279" s="4">
        <v>201</v>
      </c>
      <c r="F279" s="4">
        <f>ROUND(Source!O277,O279)</f>
        <v>262664.96000000002</v>
      </c>
      <c r="G279" s="4" t="s">
        <v>159</v>
      </c>
      <c r="H279" s="4" t="s">
        <v>160</v>
      </c>
      <c r="I279" s="4"/>
      <c r="J279" s="4"/>
      <c r="K279" s="4">
        <v>201</v>
      </c>
      <c r="L279" s="4">
        <v>1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262664.96000000002</v>
      </c>
      <c r="X279" s="4">
        <v>1</v>
      </c>
      <c r="Y279" s="4">
        <v>262664.96000000002</v>
      </c>
      <c r="Z279" s="4"/>
      <c r="AA279" s="4"/>
      <c r="AB279" s="4"/>
    </row>
    <row r="280" spans="1:245" x14ac:dyDescent="0.2">
      <c r="A280" s="4">
        <v>50</v>
      </c>
      <c r="B280" s="4">
        <v>0</v>
      </c>
      <c r="C280" s="4">
        <v>0</v>
      </c>
      <c r="D280" s="4">
        <v>1</v>
      </c>
      <c r="E280" s="4">
        <v>202</v>
      </c>
      <c r="F280" s="4">
        <f>ROUND(Source!P277,O280)</f>
        <v>227372.76</v>
      </c>
      <c r="G280" s="4" t="s">
        <v>161</v>
      </c>
      <c r="H280" s="4" t="s">
        <v>162</v>
      </c>
      <c r="I280" s="4"/>
      <c r="J280" s="4"/>
      <c r="K280" s="4">
        <v>202</v>
      </c>
      <c r="L280" s="4">
        <v>2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227372.76</v>
      </c>
      <c r="X280" s="4">
        <v>1</v>
      </c>
      <c r="Y280" s="4">
        <v>227372.76</v>
      </c>
      <c r="Z280" s="4"/>
      <c r="AA280" s="4"/>
      <c r="AB280" s="4"/>
    </row>
    <row r="281" spans="1:245" x14ac:dyDescent="0.2">
      <c r="A281" s="4">
        <v>50</v>
      </c>
      <c r="B281" s="4">
        <v>0</v>
      </c>
      <c r="C281" s="4">
        <v>0</v>
      </c>
      <c r="D281" s="4">
        <v>1</v>
      </c>
      <c r="E281" s="4">
        <v>222</v>
      </c>
      <c r="F281" s="4">
        <f>ROUND(Source!AO277,O281)</f>
        <v>0</v>
      </c>
      <c r="G281" s="4" t="s">
        <v>163</v>
      </c>
      <c r="H281" s="4" t="s">
        <v>164</v>
      </c>
      <c r="I281" s="4"/>
      <c r="J281" s="4"/>
      <c r="K281" s="4">
        <v>222</v>
      </c>
      <c r="L281" s="4">
        <v>3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45" x14ac:dyDescent="0.2">
      <c r="A282" s="4">
        <v>50</v>
      </c>
      <c r="B282" s="4">
        <v>0</v>
      </c>
      <c r="C282" s="4">
        <v>0</v>
      </c>
      <c r="D282" s="4">
        <v>1</v>
      </c>
      <c r="E282" s="4">
        <v>225</v>
      </c>
      <c r="F282" s="4">
        <f>ROUND(Source!AV277,O282)</f>
        <v>227372.76</v>
      </c>
      <c r="G282" s="4" t="s">
        <v>165</v>
      </c>
      <c r="H282" s="4" t="s">
        <v>166</v>
      </c>
      <c r="I282" s="4"/>
      <c r="J282" s="4"/>
      <c r="K282" s="4">
        <v>225</v>
      </c>
      <c r="L282" s="4">
        <v>4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227372.76</v>
      </c>
      <c r="X282" s="4">
        <v>1</v>
      </c>
      <c r="Y282" s="4">
        <v>227372.76</v>
      </c>
      <c r="Z282" s="4"/>
      <c r="AA282" s="4"/>
      <c r="AB282" s="4"/>
    </row>
    <row r="283" spans="1:245" x14ac:dyDescent="0.2">
      <c r="A283" s="4">
        <v>50</v>
      </c>
      <c r="B283" s="4">
        <v>0</v>
      </c>
      <c r="C283" s="4">
        <v>0</v>
      </c>
      <c r="D283" s="4">
        <v>1</v>
      </c>
      <c r="E283" s="4">
        <v>226</v>
      </c>
      <c r="F283" s="4">
        <f>ROUND(Source!AW277,O283)</f>
        <v>227372.76</v>
      </c>
      <c r="G283" s="4" t="s">
        <v>167</v>
      </c>
      <c r="H283" s="4" t="s">
        <v>168</v>
      </c>
      <c r="I283" s="4"/>
      <c r="J283" s="4"/>
      <c r="K283" s="4">
        <v>226</v>
      </c>
      <c r="L283" s="4">
        <v>5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227372.76</v>
      </c>
      <c r="X283" s="4">
        <v>1</v>
      </c>
      <c r="Y283" s="4">
        <v>227372.76</v>
      </c>
      <c r="Z283" s="4"/>
      <c r="AA283" s="4"/>
      <c r="AB283" s="4"/>
    </row>
    <row r="284" spans="1:245" x14ac:dyDescent="0.2">
      <c r="A284" s="4">
        <v>50</v>
      </c>
      <c r="B284" s="4">
        <v>0</v>
      </c>
      <c r="C284" s="4">
        <v>0</v>
      </c>
      <c r="D284" s="4">
        <v>1</v>
      </c>
      <c r="E284" s="4">
        <v>227</v>
      </c>
      <c r="F284" s="4">
        <f>ROUND(Source!AX277,O284)</f>
        <v>0</v>
      </c>
      <c r="G284" s="4" t="s">
        <v>169</v>
      </c>
      <c r="H284" s="4" t="s">
        <v>170</v>
      </c>
      <c r="I284" s="4"/>
      <c r="J284" s="4"/>
      <c r="K284" s="4">
        <v>227</v>
      </c>
      <c r="L284" s="4">
        <v>6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45" x14ac:dyDescent="0.2">
      <c r="A285" s="4">
        <v>50</v>
      </c>
      <c r="B285" s="4">
        <v>0</v>
      </c>
      <c r="C285" s="4">
        <v>0</v>
      </c>
      <c r="D285" s="4">
        <v>1</v>
      </c>
      <c r="E285" s="4">
        <v>228</v>
      </c>
      <c r="F285" s="4">
        <f>ROUND(Source!AY277,O285)</f>
        <v>227372.76</v>
      </c>
      <c r="G285" s="4" t="s">
        <v>171</v>
      </c>
      <c r="H285" s="4" t="s">
        <v>172</v>
      </c>
      <c r="I285" s="4"/>
      <c r="J285" s="4"/>
      <c r="K285" s="4">
        <v>228</v>
      </c>
      <c r="L285" s="4">
        <v>7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227372.76</v>
      </c>
      <c r="X285" s="4">
        <v>1</v>
      </c>
      <c r="Y285" s="4">
        <v>227372.76</v>
      </c>
      <c r="Z285" s="4"/>
      <c r="AA285" s="4"/>
      <c r="AB285" s="4"/>
    </row>
    <row r="286" spans="1:245" x14ac:dyDescent="0.2">
      <c r="A286" s="4">
        <v>50</v>
      </c>
      <c r="B286" s="4">
        <v>0</v>
      </c>
      <c r="C286" s="4">
        <v>0</v>
      </c>
      <c r="D286" s="4">
        <v>1</v>
      </c>
      <c r="E286" s="4">
        <v>216</v>
      </c>
      <c r="F286" s="4">
        <f>ROUND(Source!AP277,O286)</f>
        <v>0</v>
      </c>
      <c r="G286" s="4" t="s">
        <v>173</v>
      </c>
      <c r="H286" s="4" t="s">
        <v>174</v>
      </c>
      <c r="I286" s="4"/>
      <c r="J286" s="4"/>
      <c r="K286" s="4">
        <v>216</v>
      </c>
      <c r="L286" s="4">
        <v>8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45" x14ac:dyDescent="0.2">
      <c r="A287" s="4">
        <v>50</v>
      </c>
      <c r="B287" s="4">
        <v>0</v>
      </c>
      <c r="C287" s="4">
        <v>0</v>
      </c>
      <c r="D287" s="4">
        <v>1</v>
      </c>
      <c r="E287" s="4">
        <v>223</v>
      </c>
      <c r="F287" s="4">
        <f>ROUND(Source!AQ277,O287)</f>
        <v>0</v>
      </c>
      <c r="G287" s="4" t="s">
        <v>175</v>
      </c>
      <c r="H287" s="4" t="s">
        <v>176</v>
      </c>
      <c r="I287" s="4"/>
      <c r="J287" s="4"/>
      <c r="K287" s="4">
        <v>223</v>
      </c>
      <c r="L287" s="4">
        <v>9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45" x14ac:dyDescent="0.2">
      <c r="A288" s="4">
        <v>50</v>
      </c>
      <c r="B288" s="4">
        <v>0</v>
      </c>
      <c r="C288" s="4">
        <v>0</v>
      </c>
      <c r="D288" s="4">
        <v>1</v>
      </c>
      <c r="E288" s="4">
        <v>229</v>
      </c>
      <c r="F288" s="4">
        <f>ROUND(Source!AZ277,O288)</f>
        <v>0</v>
      </c>
      <c r="G288" s="4" t="s">
        <v>177</v>
      </c>
      <c r="H288" s="4" t="s">
        <v>178</v>
      </c>
      <c r="I288" s="4"/>
      <c r="J288" s="4"/>
      <c r="K288" s="4">
        <v>229</v>
      </c>
      <c r="L288" s="4">
        <v>10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203</v>
      </c>
      <c r="F289" s="4">
        <f>ROUND(Source!Q277,O289)</f>
        <v>492.68</v>
      </c>
      <c r="G289" s="4" t="s">
        <v>179</v>
      </c>
      <c r="H289" s="4" t="s">
        <v>180</v>
      </c>
      <c r="I289" s="4"/>
      <c r="J289" s="4"/>
      <c r="K289" s="4">
        <v>203</v>
      </c>
      <c r="L289" s="4">
        <v>11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492.68</v>
      </c>
      <c r="X289" s="4">
        <v>1</v>
      </c>
      <c r="Y289" s="4">
        <v>492.68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231</v>
      </c>
      <c r="F290" s="4">
        <f>ROUND(Source!BB277,O290)</f>
        <v>0</v>
      </c>
      <c r="G290" s="4" t="s">
        <v>181</v>
      </c>
      <c r="H290" s="4" t="s">
        <v>182</v>
      </c>
      <c r="I290" s="4"/>
      <c r="J290" s="4"/>
      <c r="K290" s="4">
        <v>231</v>
      </c>
      <c r="L290" s="4">
        <v>12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204</v>
      </c>
      <c r="F291" s="4">
        <f>ROUND(Source!R277,O291)</f>
        <v>100.22</v>
      </c>
      <c r="G291" s="4" t="s">
        <v>183</v>
      </c>
      <c r="H291" s="4" t="s">
        <v>184</v>
      </c>
      <c r="I291" s="4"/>
      <c r="J291" s="4"/>
      <c r="K291" s="4">
        <v>204</v>
      </c>
      <c r="L291" s="4">
        <v>13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100.22</v>
      </c>
      <c r="X291" s="4">
        <v>1</v>
      </c>
      <c r="Y291" s="4">
        <v>100.22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205</v>
      </c>
      <c r="F292" s="4">
        <f>ROUND(Source!S277,O292)</f>
        <v>34799.519999999997</v>
      </c>
      <c r="G292" s="4" t="s">
        <v>185</v>
      </c>
      <c r="H292" s="4" t="s">
        <v>186</v>
      </c>
      <c r="I292" s="4"/>
      <c r="J292" s="4"/>
      <c r="K292" s="4">
        <v>205</v>
      </c>
      <c r="L292" s="4">
        <v>14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34799.519999999997</v>
      </c>
      <c r="X292" s="4">
        <v>1</v>
      </c>
      <c r="Y292" s="4">
        <v>34799.519999999997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232</v>
      </c>
      <c r="F293" s="4">
        <f>ROUND(Source!BC277,O293)</f>
        <v>0</v>
      </c>
      <c r="G293" s="4" t="s">
        <v>187</v>
      </c>
      <c r="H293" s="4" t="s">
        <v>188</v>
      </c>
      <c r="I293" s="4"/>
      <c r="J293" s="4"/>
      <c r="K293" s="4">
        <v>232</v>
      </c>
      <c r="L293" s="4">
        <v>15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214</v>
      </c>
      <c r="F294" s="4">
        <f>ROUND(Source!AS277,O294)</f>
        <v>302603.95</v>
      </c>
      <c r="G294" s="4" t="s">
        <v>189</v>
      </c>
      <c r="H294" s="4" t="s">
        <v>190</v>
      </c>
      <c r="I294" s="4"/>
      <c r="J294" s="4"/>
      <c r="K294" s="4">
        <v>214</v>
      </c>
      <c r="L294" s="4">
        <v>16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302603.95</v>
      </c>
      <c r="X294" s="4">
        <v>1</v>
      </c>
      <c r="Y294" s="4">
        <v>302603.95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215</v>
      </c>
      <c r="F295" s="4">
        <f>ROUND(Source!AT277,O295)</f>
        <v>0</v>
      </c>
      <c r="G295" s="4" t="s">
        <v>46</v>
      </c>
      <c r="H295" s="4" t="s">
        <v>191</v>
      </c>
      <c r="I295" s="4"/>
      <c r="J295" s="4"/>
      <c r="K295" s="4">
        <v>215</v>
      </c>
      <c r="L295" s="4">
        <v>17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217</v>
      </c>
      <c r="F296" s="4">
        <f>ROUND(Source!AU277,O296)</f>
        <v>0</v>
      </c>
      <c r="G296" s="4" t="s">
        <v>192</v>
      </c>
      <c r="H296" s="4" t="s">
        <v>193</v>
      </c>
      <c r="I296" s="4"/>
      <c r="J296" s="4"/>
      <c r="K296" s="4">
        <v>217</v>
      </c>
      <c r="L296" s="4">
        <v>18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230</v>
      </c>
      <c r="F297" s="4">
        <f>ROUND(Source!BA277,O297)</f>
        <v>0</v>
      </c>
      <c r="G297" s="4" t="s">
        <v>194</v>
      </c>
      <c r="H297" s="4" t="s">
        <v>195</v>
      </c>
      <c r="I297" s="4"/>
      <c r="J297" s="4"/>
      <c r="K297" s="4">
        <v>230</v>
      </c>
      <c r="L297" s="4">
        <v>19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206</v>
      </c>
      <c r="F298" s="4">
        <f>ROUND(Source!T277,O298)</f>
        <v>0</v>
      </c>
      <c r="G298" s="4" t="s">
        <v>196</v>
      </c>
      <c r="H298" s="4" t="s">
        <v>197</v>
      </c>
      <c r="I298" s="4"/>
      <c r="J298" s="4"/>
      <c r="K298" s="4">
        <v>206</v>
      </c>
      <c r="L298" s="4">
        <v>20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207</v>
      </c>
      <c r="F299" s="4">
        <f>Source!U277</f>
        <v>99.520700000000005</v>
      </c>
      <c r="G299" s="4" t="s">
        <v>198</v>
      </c>
      <c r="H299" s="4" t="s">
        <v>199</v>
      </c>
      <c r="I299" s="4"/>
      <c r="J299" s="4"/>
      <c r="K299" s="4">
        <v>207</v>
      </c>
      <c r="L299" s="4">
        <v>21</v>
      </c>
      <c r="M299" s="4">
        <v>3</v>
      </c>
      <c r="N299" s="4" t="s">
        <v>3</v>
      </c>
      <c r="O299" s="4">
        <v>-1</v>
      </c>
      <c r="P299" s="4"/>
      <c r="Q299" s="4"/>
      <c r="R299" s="4"/>
      <c r="S299" s="4"/>
      <c r="T299" s="4"/>
      <c r="U299" s="4"/>
      <c r="V299" s="4"/>
      <c r="W299" s="4">
        <v>99.520700000000005</v>
      </c>
      <c r="X299" s="4">
        <v>1</v>
      </c>
      <c r="Y299" s="4">
        <v>99.520700000000005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208</v>
      </c>
      <c r="F300" s="4">
        <f>Source!V277</f>
        <v>0</v>
      </c>
      <c r="G300" s="4" t="s">
        <v>200</v>
      </c>
      <c r="H300" s="4" t="s">
        <v>201</v>
      </c>
      <c r="I300" s="4"/>
      <c r="J300" s="4"/>
      <c r="K300" s="4">
        <v>208</v>
      </c>
      <c r="L300" s="4">
        <v>22</v>
      </c>
      <c r="M300" s="4">
        <v>3</v>
      </c>
      <c r="N300" s="4" t="s">
        <v>3</v>
      </c>
      <c r="O300" s="4">
        <v>-1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209</v>
      </c>
      <c r="F301" s="4">
        <f>ROUND(Source!W277,O301)</f>
        <v>0</v>
      </c>
      <c r="G301" s="4" t="s">
        <v>202</v>
      </c>
      <c r="H301" s="4" t="s">
        <v>203</v>
      </c>
      <c r="I301" s="4"/>
      <c r="J301" s="4"/>
      <c r="K301" s="4">
        <v>209</v>
      </c>
      <c r="L301" s="4">
        <v>23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233</v>
      </c>
      <c r="F302" s="4">
        <f>ROUND(Source!BD277,O302)</f>
        <v>0</v>
      </c>
      <c r="G302" s="4" t="s">
        <v>204</v>
      </c>
      <c r="H302" s="4" t="s">
        <v>205</v>
      </c>
      <c r="I302" s="4"/>
      <c r="J302" s="4"/>
      <c r="K302" s="4">
        <v>233</v>
      </c>
      <c r="L302" s="4">
        <v>24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210</v>
      </c>
      <c r="F303" s="4">
        <f>ROUND(Source!X277,O303)</f>
        <v>25510.84</v>
      </c>
      <c r="G303" s="4" t="s">
        <v>206</v>
      </c>
      <c r="H303" s="4" t="s">
        <v>207</v>
      </c>
      <c r="I303" s="4"/>
      <c r="J303" s="4"/>
      <c r="K303" s="4">
        <v>210</v>
      </c>
      <c r="L303" s="4">
        <v>25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25510.84</v>
      </c>
      <c r="X303" s="4">
        <v>1</v>
      </c>
      <c r="Y303" s="4">
        <v>25510.84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211</v>
      </c>
      <c r="F304" s="4">
        <f>ROUND(Source!Y277,O304)</f>
        <v>14267.8</v>
      </c>
      <c r="G304" s="4" t="s">
        <v>208</v>
      </c>
      <c r="H304" s="4" t="s">
        <v>209</v>
      </c>
      <c r="I304" s="4"/>
      <c r="J304" s="4"/>
      <c r="K304" s="4">
        <v>211</v>
      </c>
      <c r="L304" s="4">
        <v>26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14267.8</v>
      </c>
      <c r="X304" s="4">
        <v>1</v>
      </c>
      <c r="Y304" s="4">
        <v>14267.8</v>
      </c>
      <c r="Z304" s="4"/>
      <c r="AA304" s="4"/>
      <c r="AB304" s="4"/>
    </row>
    <row r="305" spans="1:245" x14ac:dyDescent="0.2">
      <c r="A305" s="4">
        <v>50</v>
      </c>
      <c r="B305" s="4">
        <v>0</v>
      </c>
      <c r="C305" s="4">
        <v>0</v>
      </c>
      <c r="D305" s="4">
        <v>1</v>
      </c>
      <c r="E305" s="4">
        <v>224</v>
      </c>
      <c r="F305" s="4">
        <f>ROUND(Source!AR277,O305)</f>
        <v>302603.95</v>
      </c>
      <c r="G305" s="4" t="s">
        <v>210</v>
      </c>
      <c r="H305" s="4" t="s">
        <v>211</v>
      </c>
      <c r="I305" s="4"/>
      <c r="J305" s="4"/>
      <c r="K305" s="4">
        <v>224</v>
      </c>
      <c r="L305" s="4">
        <v>27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302603.95</v>
      </c>
      <c r="X305" s="4">
        <v>1</v>
      </c>
      <c r="Y305" s="4">
        <v>302603.95</v>
      </c>
      <c r="Z305" s="4"/>
      <c r="AA305" s="4"/>
      <c r="AB305" s="4"/>
    </row>
    <row r="307" spans="1:245" x14ac:dyDescent="0.2">
      <c r="A307" s="1">
        <v>4</v>
      </c>
      <c r="B307" s="1">
        <v>1</v>
      </c>
      <c r="C307" s="1"/>
      <c r="D307" s="1">
        <f>ROW(A326)</f>
        <v>326</v>
      </c>
      <c r="E307" s="1"/>
      <c r="F307" s="1" t="s">
        <v>14</v>
      </c>
      <c r="G307" s="1" t="s">
        <v>559</v>
      </c>
      <c r="H307" s="1" t="s">
        <v>3</v>
      </c>
      <c r="I307" s="1">
        <v>0</v>
      </c>
      <c r="J307" s="1"/>
      <c r="K307" s="1">
        <v>0</v>
      </c>
      <c r="L307" s="1"/>
      <c r="M307" s="1" t="s">
        <v>3</v>
      </c>
      <c r="N307" s="1"/>
      <c r="O307" s="1"/>
      <c r="P307" s="1"/>
      <c r="Q307" s="1"/>
      <c r="R307" s="1"/>
      <c r="S307" s="1">
        <v>0</v>
      </c>
      <c r="T307" s="1"/>
      <c r="U307" s="1" t="s">
        <v>3</v>
      </c>
      <c r="V307" s="1">
        <v>0</v>
      </c>
      <c r="W307" s="1"/>
      <c r="X307" s="1"/>
      <c r="Y307" s="1"/>
      <c r="Z307" s="1"/>
      <c r="AA307" s="1"/>
      <c r="AB307" s="1" t="s">
        <v>3</v>
      </c>
      <c r="AC307" s="1" t="s">
        <v>3</v>
      </c>
      <c r="AD307" s="1" t="s">
        <v>3</v>
      </c>
      <c r="AE307" s="1" t="s">
        <v>3</v>
      </c>
      <c r="AF307" s="1" t="s">
        <v>3</v>
      </c>
      <c r="AG307" s="1" t="s">
        <v>3</v>
      </c>
      <c r="AH307" s="1"/>
      <c r="AI307" s="1"/>
      <c r="AJ307" s="1"/>
      <c r="AK307" s="1"/>
      <c r="AL307" s="1"/>
      <c r="AM307" s="1"/>
      <c r="AN307" s="1"/>
      <c r="AO307" s="1"/>
      <c r="AP307" s="1" t="s">
        <v>3</v>
      </c>
      <c r="AQ307" s="1" t="s">
        <v>3</v>
      </c>
      <c r="AR307" s="1" t="s">
        <v>3</v>
      </c>
      <c r="AS307" s="1"/>
      <c r="AT307" s="1"/>
      <c r="AU307" s="1"/>
      <c r="AV307" s="1"/>
      <c r="AW307" s="1"/>
      <c r="AX307" s="1"/>
      <c r="AY307" s="1"/>
      <c r="AZ307" s="1" t="s">
        <v>3</v>
      </c>
      <c r="BA307" s="1"/>
      <c r="BB307" s="1" t="s">
        <v>3</v>
      </c>
      <c r="BC307" s="1" t="s">
        <v>3</v>
      </c>
      <c r="BD307" s="1" t="s">
        <v>3</v>
      </c>
      <c r="BE307" s="1" t="s">
        <v>3</v>
      </c>
      <c r="BF307" s="1" t="s">
        <v>3</v>
      </c>
      <c r="BG307" s="1" t="s">
        <v>3</v>
      </c>
      <c r="BH307" s="1" t="s">
        <v>3</v>
      </c>
      <c r="BI307" s="1" t="s">
        <v>3</v>
      </c>
      <c r="BJ307" s="1" t="s">
        <v>3</v>
      </c>
      <c r="BK307" s="1" t="s">
        <v>3</v>
      </c>
      <c r="BL307" s="1" t="s">
        <v>3</v>
      </c>
      <c r="BM307" s="1" t="s">
        <v>3</v>
      </c>
      <c r="BN307" s="1" t="s">
        <v>3</v>
      </c>
      <c r="BO307" s="1" t="s">
        <v>3</v>
      </c>
      <c r="BP307" s="1" t="s">
        <v>3</v>
      </c>
      <c r="BQ307" s="1"/>
      <c r="BR307" s="1"/>
      <c r="BS307" s="1"/>
      <c r="BT307" s="1"/>
      <c r="BU307" s="1"/>
      <c r="BV307" s="1"/>
      <c r="BW307" s="1"/>
      <c r="BX307" s="1">
        <v>0</v>
      </c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>
        <v>0</v>
      </c>
    </row>
    <row r="309" spans="1:245" x14ac:dyDescent="0.2">
      <c r="A309" s="2">
        <v>52</v>
      </c>
      <c r="B309" s="2">
        <f t="shared" ref="B309:G309" si="276">B326</f>
        <v>1</v>
      </c>
      <c r="C309" s="2">
        <f t="shared" si="276"/>
        <v>4</v>
      </c>
      <c r="D309" s="2">
        <f t="shared" si="276"/>
        <v>307</v>
      </c>
      <c r="E309" s="2">
        <f t="shared" si="276"/>
        <v>0</v>
      </c>
      <c r="F309" s="2" t="str">
        <f t="shared" si="276"/>
        <v>Новый раздел</v>
      </c>
      <c r="G309" s="2" t="str">
        <f t="shared" si="276"/>
        <v>Окна</v>
      </c>
      <c r="H309" s="2"/>
      <c r="I309" s="2"/>
      <c r="J309" s="2"/>
      <c r="K309" s="2"/>
      <c r="L309" s="2"/>
      <c r="M309" s="2"/>
      <c r="N309" s="2"/>
      <c r="O309" s="2">
        <f t="shared" ref="O309:AT309" si="277">O326</f>
        <v>239252.58</v>
      </c>
      <c r="P309" s="2">
        <f t="shared" si="277"/>
        <v>188113.43</v>
      </c>
      <c r="Q309" s="2">
        <f t="shared" si="277"/>
        <v>899.83</v>
      </c>
      <c r="R309" s="2">
        <f t="shared" si="277"/>
        <v>312.74</v>
      </c>
      <c r="S309" s="2">
        <f t="shared" si="277"/>
        <v>50239.32</v>
      </c>
      <c r="T309" s="2">
        <f t="shared" si="277"/>
        <v>0</v>
      </c>
      <c r="U309" s="2">
        <f t="shared" si="277"/>
        <v>145.43567999999999</v>
      </c>
      <c r="V309" s="2">
        <f t="shared" si="277"/>
        <v>0</v>
      </c>
      <c r="W309" s="2">
        <f t="shared" si="277"/>
        <v>0</v>
      </c>
      <c r="X309" s="2">
        <f t="shared" si="277"/>
        <v>41171.61</v>
      </c>
      <c r="Y309" s="2">
        <f t="shared" si="277"/>
        <v>20598.12</v>
      </c>
      <c r="Z309" s="2">
        <f t="shared" si="277"/>
        <v>0</v>
      </c>
      <c r="AA309" s="2">
        <f t="shared" si="277"/>
        <v>0</v>
      </c>
      <c r="AB309" s="2">
        <f t="shared" si="277"/>
        <v>239252.58</v>
      </c>
      <c r="AC309" s="2">
        <f t="shared" si="277"/>
        <v>188113.43</v>
      </c>
      <c r="AD309" s="2">
        <f t="shared" si="277"/>
        <v>899.83</v>
      </c>
      <c r="AE309" s="2">
        <f t="shared" si="277"/>
        <v>312.74</v>
      </c>
      <c r="AF309" s="2">
        <f t="shared" si="277"/>
        <v>50239.32</v>
      </c>
      <c r="AG309" s="2">
        <f t="shared" si="277"/>
        <v>0</v>
      </c>
      <c r="AH309" s="2">
        <f t="shared" si="277"/>
        <v>145.43567999999999</v>
      </c>
      <c r="AI309" s="2">
        <f t="shared" si="277"/>
        <v>0</v>
      </c>
      <c r="AJ309" s="2">
        <f t="shared" si="277"/>
        <v>0</v>
      </c>
      <c r="AK309" s="2">
        <f t="shared" si="277"/>
        <v>41171.61</v>
      </c>
      <c r="AL309" s="2">
        <f t="shared" si="277"/>
        <v>20598.12</v>
      </c>
      <c r="AM309" s="2">
        <f t="shared" si="277"/>
        <v>0</v>
      </c>
      <c r="AN309" s="2">
        <f t="shared" si="277"/>
        <v>0</v>
      </c>
      <c r="AO309" s="2">
        <f t="shared" si="277"/>
        <v>0</v>
      </c>
      <c r="AP309" s="2">
        <f t="shared" si="277"/>
        <v>0</v>
      </c>
      <c r="AQ309" s="2">
        <f t="shared" si="277"/>
        <v>0</v>
      </c>
      <c r="AR309" s="2">
        <f t="shared" si="277"/>
        <v>301522.69</v>
      </c>
      <c r="AS309" s="2">
        <f t="shared" si="277"/>
        <v>301522.69</v>
      </c>
      <c r="AT309" s="2">
        <f t="shared" si="277"/>
        <v>0</v>
      </c>
      <c r="AU309" s="2">
        <f t="shared" ref="AU309:BZ309" si="278">AU326</f>
        <v>0</v>
      </c>
      <c r="AV309" s="2">
        <f t="shared" si="278"/>
        <v>188113.43</v>
      </c>
      <c r="AW309" s="2">
        <f t="shared" si="278"/>
        <v>188113.43</v>
      </c>
      <c r="AX309" s="2">
        <f t="shared" si="278"/>
        <v>0</v>
      </c>
      <c r="AY309" s="2">
        <f t="shared" si="278"/>
        <v>188113.43</v>
      </c>
      <c r="AZ309" s="2">
        <f t="shared" si="278"/>
        <v>0</v>
      </c>
      <c r="BA309" s="2">
        <f t="shared" si="278"/>
        <v>0</v>
      </c>
      <c r="BB309" s="2">
        <f t="shared" si="278"/>
        <v>0</v>
      </c>
      <c r="BC309" s="2">
        <f t="shared" si="278"/>
        <v>0</v>
      </c>
      <c r="BD309" s="2">
        <f t="shared" si="278"/>
        <v>0</v>
      </c>
      <c r="BE309" s="2">
        <f t="shared" si="278"/>
        <v>0</v>
      </c>
      <c r="BF309" s="2">
        <f t="shared" si="278"/>
        <v>0</v>
      </c>
      <c r="BG309" s="2">
        <f t="shared" si="278"/>
        <v>0</v>
      </c>
      <c r="BH309" s="2">
        <f t="shared" si="278"/>
        <v>0</v>
      </c>
      <c r="BI309" s="2">
        <f t="shared" si="278"/>
        <v>0</v>
      </c>
      <c r="BJ309" s="2">
        <f t="shared" si="278"/>
        <v>0</v>
      </c>
      <c r="BK309" s="2">
        <f t="shared" si="278"/>
        <v>0</v>
      </c>
      <c r="BL309" s="2">
        <f t="shared" si="278"/>
        <v>0</v>
      </c>
      <c r="BM309" s="2">
        <f t="shared" si="278"/>
        <v>0</v>
      </c>
      <c r="BN309" s="2">
        <f t="shared" si="278"/>
        <v>0</v>
      </c>
      <c r="BO309" s="2">
        <f t="shared" si="278"/>
        <v>0</v>
      </c>
      <c r="BP309" s="2">
        <f t="shared" si="278"/>
        <v>0</v>
      </c>
      <c r="BQ309" s="2">
        <f t="shared" si="278"/>
        <v>0</v>
      </c>
      <c r="BR309" s="2">
        <f t="shared" si="278"/>
        <v>0</v>
      </c>
      <c r="BS309" s="2">
        <f t="shared" si="278"/>
        <v>0</v>
      </c>
      <c r="BT309" s="2">
        <f t="shared" si="278"/>
        <v>0</v>
      </c>
      <c r="BU309" s="2">
        <f t="shared" si="278"/>
        <v>0</v>
      </c>
      <c r="BV309" s="2">
        <f t="shared" si="278"/>
        <v>0</v>
      </c>
      <c r="BW309" s="2">
        <f t="shared" si="278"/>
        <v>0</v>
      </c>
      <c r="BX309" s="2">
        <f t="shared" si="278"/>
        <v>0</v>
      </c>
      <c r="BY309" s="2">
        <f t="shared" si="278"/>
        <v>0</v>
      </c>
      <c r="BZ309" s="2">
        <f t="shared" si="278"/>
        <v>0</v>
      </c>
      <c r="CA309" s="2">
        <f t="shared" ref="CA309:DF309" si="279">CA326</f>
        <v>301522.69</v>
      </c>
      <c r="CB309" s="2">
        <f t="shared" si="279"/>
        <v>301522.69</v>
      </c>
      <c r="CC309" s="2">
        <f t="shared" si="279"/>
        <v>0</v>
      </c>
      <c r="CD309" s="2">
        <f t="shared" si="279"/>
        <v>0</v>
      </c>
      <c r="CE309" s="2">
        <f t="shared" si="279"/>
        <v>188113.43</v>
      </c>
      <c r="CF309" s="2">
        <f t="shared" si="279"/>
        <v>188113.43</v>
      </c>
      <c r="CG309" s="2">
        <f t="shared" si="279"/>
        <v>0</v>
      </c>
      <c r="CH309" s="2">
        <f t="shared" si="279"/>
        <v>188113.43</v>
      </c>
      <c r="CI309" s="2">
        <f t="shared" si="279"/>
        <v>0</v>
      </c>
      <c r="CJ309" s="2">
        <f t="shared" si="279"/>
        <v>0</v>
      </c>
      <c r="CK309" s="2">
        <f t="shared" si="279"/>
        <v>0</v>
      </c>
      <c r="CL309" s="2">
        <f t="shared" si="279"/>
        <v>0</v>
      </c>
      <c r="CM309" s="2">
        <f t="shared" si="279"/>
        <v>0</v>
      </c>
      <c r="CN309" s="2">
        <f t="shared" si="279"/>
        <v>0</v>
      </c>
      <c r="CO309" s="2">
        <f t="shared" si="279"/>
        <v>0</v>
      </c>
      <c r="CP309" s="2">
        <f t="shared" si="279"/>
        <v>0</v>
      </c>
      <c r="CQ309" s="2">
        <f t="shared" si="279"/>
        <v>0</v>
      </c>
      <c r="CR309" s="2">
        <f t="shared" si="279"/>
        <v>0</v>
      </c>
      <c r="CS309" s="2">
        <f t="shared" si="279"/>
        <v>0</v>
      </c>
      <c r="CT309" s="2">
        <f t="shared" si="279"/>
        <v>0</v>
      </c>
      <c r="CU309" s="2">
        <f t="shared" si="279"/>
        <v>0</v>
      </c>
      <c r="CV309" s="2">
        <f t="shared" si="279"/>
        <v>0</v>
      </c>
      <c r="CW309" s="2">
        <f t="shared" si="279"/>
        <v>0</v>
      </c>
      <c r="CX309" s="2">
        <f t="shared" si="279"/>
        <v>0</v>
      </c>
      <c r="CY309" s="2">
        <f t="shared" si="279"/>
        <v>0</v>
      </c>
      <c r="CZ309" s="2">
        <f t="shared" si="279"/>
        <v>0</v>
      </c>
      <c r="DA309" s="2">
        <f t="shared" si="279"/>
        <v>0</v>
      </c>
      <c r="DB309" s="2">
        <f t="shared" si="279"/>
        <v>0</v>
      </c>
      <c r="DC309" s="2">
        <f t="shared" si="279"/>
        <v>0</v>
      </c>
      <c r="DD309" s="2">
        <f t="shared" si="279"/>
        <v>0</v>
      </c>
      <c r="DE309" s="2">
        <f t="shared" si="279"/>
        <v>0</v>
      </c>
      <c r="DF309" s="2">
        <f t="shared" si="279"/>
        <v>0</v>
      </c>
      <c r="DG309" s="3">
        <f t="shared" ref="DG309:EL309" si="280">DG326</f>
        <v>0</v>
      </c>
      <c r="DH309" s="3">
        <f t="shared" si="280"/>
        <v>0</v>
      </c>
      <c r="DI309" s="3">
        <f t="shared" si="280"/>
        <v>0</v>
      </c>
      <c r="DJ309" s="3">
        <f t="shared" si="280"/>
        <v>0</v>
      </c>
      <c r="DK309" s="3">
        <f t="shared" si="280"/>
        <v>0</v>
      </c>
      <c r="DL309" s="3">
        <f t="shared" si="280"/>
        <v>0</v>
      </c>
      <c r="DM309" s="3">
        <f t="shared" si="280"/>
        <v>0</v>
      </c>
      <c r="DN309" s="3">
        <f t="shared" si="280"/>
        <v>0</v>
      </c>
      <c r="DO309" s="3">
        <f t="shared" si="280"/>
        <v>0</v>
      </c>
      <c r="DP309" s="3">
        <f t="shared" si="280"/>
        <v>0</v>
      </c>
      <c r="DQ309" s="3">
        <f t="shared" si="280"/>
        <v>0</v>
      </c>
      <c r="DR309" s="3">
        <f t="shared" si="280"/>
        <v>0</v>
      </c>
      <c r="DS309" s="3">
        <f t="shared" si="280"/>
        <v>0</v>
      </c>
      <c r="DT309" s="3">
        <f t="shared" si="280"/>
        <v>0</v>
      </c>
      <c r="DU309" s="3">
        <f t="shared" si="280"/>
        <v>0</v>
      </c>
      <c r="DV309" s="3">
        <f t="shared" si="280"/>
        <v>0</v>
      </c>
      <c r="DW309" s="3">
        <f t="shared" si="280"/>
        <v>0</v>
      </c>
      <c r="DX309" s="3">
        <f t="shared" si="280"/>
        <v>0</v>
      </c>
      <c r="DY309" s="3">
        <f t="shared" si="280"/>
        <v>0</v>
      </c>
      <c r="DZ309" s="3">
        <f t="shared" si="280"/>
        <v>0</v>
      </c>
      <c r="EA309" s="3">
        <f t="shared" si="280"/>
        <v>0</v>
      </c>
      <c r="EB309" s="3">
        <f t="shared" si="280"/>
        <v>0</v>
      </c>
      <c r="EC309" s="3">
        <f t="shared" si="280"/>
        <v>0</v>
      </c>
      <c r="ED309" s="3">
        <f t="shared" si="280"/>
        <v>0</v>
      </c>
      <c r="EE309" s="3">
        <f t="shared" si="280"/>
        <v>0</v>
      </c>
      <c r="EF309" s="3">
        <f t="shared" si="280"/>
        <v>0</v>
      </c>
      <c r="EG309" s="3">
        <f t="shared" si="280"/>
        <v>0</v>
      </c>
      <c r="EH309" s="3">
        <f t="shared" si="280"/>
        <v>0</v>
      </c>
      <c r="EI309" s="3">
        <f t="shared" si="280"/>
        <v>0</v>
      </c>
      <c r="EJ309" s="3">
        <f t="shared" si="280"/>
        <v>0</v>
      </c>
      <c r="EK309" s="3">
        <f t="shared" si="280"/>
        <v>0</v>
      </c>
      <c r="EL309" s="3">
        <f t="shared" si="280"/>
        <v>0</v>
      </c>
      <c r="EM309" s="3">
        <f t="shared" ref="EM309:FR309" si="281">EM326</f>
        <v>0</v>
      </c>
      <c r="EN309" s="3">
        <f t="shared" si="281"/>
        <v>0</v>
      </c>
      <c r="EO309" s="3">
        <f t="shared" si="281"/>
        <v>0</v>
      </c>
      <c r="EP309" s="3">
        <f t="shared" si="281"/>
        <v>0</v>
      </c>
      <c r="EQ309" s="3">
        <f t="shared" si="281"/>
        <v>0</v>
      </c>
      <c r="ER309" s="3">
        <f t="shared" si="281"/>
        <v>0</v>
      </c>
      <c r="ES309" s="3">
        <f t="shared" si="281"/>
        <v>0</v>
      </c>
      <c r="ET309" s="3">
        <f t="shared" si="281"/>
        <v>0</v>
      </c>
      <c r="EU309" s="3">
        <f t="shared" si="281"/>
        <v>0</v>
      </c>
      <c r="EV309" s="3">
        <f t="shared" si="281"/>
        <v>0</v>
      </c>
      <c r="EW309" s="3">
        <f t="shared" si="281"/>
        <v>0</v>
      </c>
      <c r="EX309" s="3">
        <f t="shared" si="281"/>
        <v>0</v>
      </c>
      <c r="EY309" s="3">
        <f t="shared" si="281"/>
        <v>0</v>
      </c>
      <c r="EZ309" s="3">
        <f t="shared" si="281"/>
        <v>0</v>
      </c>
      <c r="FA309" s="3">
        <f t="shared" si="281"/>
        <v>0</v>
      </c>
      <c r="FB309" s="3">
        <f t="shared" si="281"/>
        <v>0</v>
      </c>
      <c r="FC309" s="3">
        <f t="shared" si="281"/>
        <v>0</v>
      </c>
      <c r="FD309" s="3">
        <f t="shared" si="281"/>
        <v>0</v>
      </c>
      <c r="FE309" s="3">
        <f t="shared" si="281"/>
        <v>0</v>
      </c>
      <c r="FF309" s="3">
        <f t="shared" si="281"/>
        <v>0</v>
      </c>
      <c r="FG309" s="3">
        <f t="shared" si="281"/>
        <v>0</v>
      </c>
      <c r="FH309" s="3">
        <f t="shared" si="281"/>
        <v>0</v>
      </c>
      <c r="FI309" s="3">
        <f t="shared" si="281"/>
        <v>0</v>
      </c>
      <c r="FJ309" s="3">
        <f t="shared" si="281"/>
        <v>0</v>
      </c>
      <c r="FK309" s="3">
        <f t="shared" si="281"/>
        <v>0</v>
      </c>
      <c r="FL309" s="3">
        <f t="shared" si="281"/>
        <v>0</v>
      </c>
      <c r="FM309" s="3">
        <f t="shared" si="281"/>
        <v>0</v>
      </c>
      <c r="FN309" s="3">
        <f t="shared" si="281"/>
        <v>0</v>
      </c>
      <c r="FO309" s="3">
        <f t="shared" si="281"/>
        <v>0</v>
      </c>
      <c r="FP309" s="3">
        <f t="shared" si="281"/>
        <v>0</v>
      </c>
      <c r="FQ309" s="3">
        <f t="shared" si="281"/>
        <v>0</v>
      </c>
      <c r="FR309" s="3">
        <f t="shared" si="281"/>
        <v>0</v>
      </c>
      <c r="FS309" s="3">
        <f t="shared" ref="FS309:GX309" si="282">FS326</f>
        <v>0</v>
      </c>
      <c r="FT309" s="3">
        <f t="shared" si="282"/>
        <v>0</v>
      </c>
      <c r="FU309" s="3">
        <f t="shared" si="282"/>
        <v>0</v>
      </c>
      <c r="FV309" s="3">
        <f t="shared" si="282"/>
        <v>0</v>
      </c>
      <c r="FW309" s="3">
        <f t="shared" si="282"/>
        <v>0</v>
      </c>
      <c r="FX309" s="3">
        <f t="shared" si="282"/>
        <v>0</v>
      </c>
      <c r="FY309" s="3">
        <f t="shared" si="282"/>
        <v>0</v>
      </c>
      <c r="FZ309" s="3">
        <f t="shared" si="282"/>
        <v>0</v>
      </c>
      <c r="GA309" s="3">
        <f t="shared" si="282"/>
        <v>0</v>
      </c>
      <c r="GB309" s="3">
        <f t="shared" si="282"/>
        <v>0</v>
      </c>
      <c r="GC309" s="3">
        <f t="shared" si="282"/>
        <v>0</v>
      </c>
      <c r="GD309" s="3">
        <f t="shared" si="282"/>
        <v>0</v>
      </c>
      <c r="GE309" s="3">
        <f t="shared" si="282"/>
        <v>0</v>
      </c>
      <c r="GF309" s="3">
        <f t="shared" si="282"/>
        <v>0</v>
      </c>
      <c r="GG309" s="3">
        <f t="shared" si="282"/>
        <v>0</v>
      </c>
      <c r="GH309" s="3">
        <f t="shared" si="282"/>
        <v>0</v>
      </c>
      <c r="GI309" s="3">
        <f t="shared" si="282"/>
        <v>0</v>
      </c>
      <c r="GJ309" s="3">
        <f t="shared" si="282"/>
        <v>0</v>
      </c>
      <c r="GK309" s="3">
        <f t="shared" si="282"/>
        <v>0</v>
      </c>
      <c r="GL309" s="3">
        <f t="shared" si="282"/>
        <v>0</v>
      </c>
      <c r="GM309" s="3">
        <f t="shared" si="282"/>
        <v>0</v>
      </c>
      <c r="GN309" s="3">
        <f t="shared" si="282"/>
        <v>0</v>
      </c>
      <c r="GO309" s="3">
        <f t="shared" si="282"/>
        <v>0</v>
      </c>
      <c r="GP309" s="3">
        <f t="shared" si="282"/>
        <v>0</v>
      </c>
      <c r="GQ309" s="3">
        <f t="shared" si="282"/>
        <v>0</v>
      </c>
      <c r="GR309" s="3">
        <f t="shared" si="282"/>
        <v>0</v>
      </c>
      <c r="GS309" s="3">
        <f t="shared" si="282"/>
        <v>0</v>
      </c>
      <c r="GT309" s="3">
        <f t="shared" si="282"/>
        <v>0</v>
      </c>
      <c r="GU309" s="3">
        <f t="shared" si="282"/>
        <v>0</v>
      </c>
      <c r="GV309" s="3">
        <f t="shared" si="282"/>
        <v>0</v>
      </c>
      <c r="GW309" s="3">
        <f t="shared" si="282"/>
        <v>0</v>
      </c>
      <c r="GX309" s="3">
        <f t="shared" si="282"/>
        <v>0</v>
      </c>
    </row>
    <row r="311" spans="1:245" x14ac:dyDescent="0.2">
      <c r="A311">
        <v>17</v>
      </c>
      <c r="B311">
        <v>1</v>
      </c>
      <c r="C311">
        <f>ROW(SmtRes!A312)</f>
        <v>312</v>
      </c>
      <c r="D311">
        <f>ROW(EtalonRes!A426)</f>
        <v>426</v>
      </c>
      <c r="E311" t="s">
        <v>560</v>
      </c>
      <c r="F311" t="s">
        <v>561</v>
      </c>
      <c r="G311" t="s">
        <v>562</v>
      </c>
      <c r="H311" t="s">
        <v>28</v>
      </c>
      <c r="I311">
        <f>ROUND((1.2*1.5*10)/100,9)</f>
        <v>0.18</v>
      </c>
      <c r="J311">
        <v>0</v>
      </c>
      <c r="K311">
        <f>ROUND((1.2*1.5*10)/100,9)</f>
        <v>0.18</v>
      </c>
      <c r="O311">
        <f t="shared" ref="O311:O324" si="283">ROUND(CP311,2)</f>
        <v>9498.36</v>
      </c>
      <c r="P311">
        <f t="shared" ref="P311:P324" si="284">ROUND((ROUND((AC311*AW311*I311),2)*BC311),2)</f>
        <v>0</v>
      </c>
      <c r="Q311">
        <f>(ROUND((ROUND(((ET311)*AV311*I311),2)*BB311),2)+ROUND((ROUND(((AE311-(EU311))*AV311*I311),2)*BS311),2))</f>
        <v>0</v>
      </c>
      <c r="R311">
        <f t="shared" ref="R311:R324" si="285">ROUND((ROUND((AE311*AV311*I311),2)*BS311),2)</f>
        <v>0</v>
      </c>
      <c r="S311">
        <f t="shared" ref="S311:S324" si="286">ROUND((ROUND((AF311*AV311*I311),2)*BA311),2)</f>
        <v>9498.36</v>
      </c>
      <c r="T311">
        <f t="shared" ref="T311:T324" si="287">ROUND(CU311*I311,2)</f>
        <v>0</v>
      </c>
      <c r="U311">
        <f t="shared" ref="U311:U324" si="288">CV311*I311</f>
        <v>29.770199999999996</v>
      </c>
      <c r="V311">
        <f t="shared" ref="V311:V324" si="289">CW311*I311</f>
        <v>0</v>
      </c>
      <c r="W311">
        <f t="shared" ref="W311:W324" si="290">ROUND(CX311*I311,2)</f>
        <v>0</v>
      </c>
      <c r="X311">
        <f t="shared" ref="X311:X324" si="291">ROUND(CY311,2)</f>
        <v>6648.85</v>
      </c>
      <c r="Y311">
        <f t="shared" ref="Y311:Y324" si="292">ROUND(CZ311,2)</f>
        <v>3894.33</v>
      </c>
      <c r="AA311">
        <v>53860087</v>
      </c>
      <c r="AB311">
        <f t="shared" ref="AB311:AB324" si="293">ROUND((AC311+AD311+AF311),6)</f>
        <v>1753.13</v>
      </c>
      <c r="AC311">
        <f t="shared" ref="AC311:AC324" si="294">ROUND((ES311),6)</f>
        <v>0</v>
      </c>
      <c r="AD311">
        <f>ROUND((((ET311)-(EU311))+AE311),6)</f>
        <v>0</v>
      </c>
      <c r="AE311">
        <f>ROUND((EU311),6)</f>
        <v>0</v>
      </c>
      <c r="AF311">
        <f>ROUND((EV311),6)</f>
        <v>1753.13</v>
      </c>
      <c r="AG311">
        <f t="shared" ref="AG311:AG324" si="295">ROUND((AP311),6)</f>
        <v>0</v>
      </c>
      <c r="AH311">
        <f>(EW311)</f>
        <v>165.39</v>
      </c>
      <c r="AI311">
        <f>(EX311)</f>
        <v>0</v>
      </c>
      <c r="AJ311">
        <f t="shared" ref="AJ311:AJ324" si="296">(AS311)</f>
        <v>0</v>
      </c>
      <c r="AK311">
        <v>1753.13</v>
      </c>
      <c r="AL311">
        <v>0</v>
      </c>
      <c r="AM311">
        <v>0</v>
      </c>
      <c r="AN311">
        <v>0</v>
      </c>
      <c r="AO311">
        <v>1753.13</v>
      </c>
      <c r="AP311">
        <v>0</v>
      </c>
      <c r="AQ311">
        <v>165.39</v>
      </c>
      <c r="AR311">
        <v>0</v>
      </c>
      <c r="AS311">
        <v>0</v>
      </c>
      <c r="AT311">
        <v>70</v>
      </c>
      <c r="AU311">
        <v>41</v>
      </c>
      <c r="AV311">
        <v>1</v>
      </c>
      <c r="AW311">
        <v>1</v>
      </c>
      <c r="AZ311">
        <v>1</v>
      </c>
      <c r="BA311">
        <v>30.1</v>
      </c>
      <c r="BB311">
        <v>1</v>
      </c>
      <c r="BC311">
        <v>1</v>
      </c>
      <c r="BD311" t="s">
        <v>3</v>
      </c>
      <c r="BE311" t="s">
        <v>3</v>
      </c>
      <c r="BF311" t="s">
        <v>3</v>
      </c>
      <c r="BG311" t="s">
        <v>3</v>
      </c>
      <c r="BH311">
        <v>0</v>
      </c>
      <c r="BI311">
        <v>1</v>
      </c>
      <c r="BJ311" t="s">
        <v>563</v>
      </c>
      <c r="BM311">
        <v>438</v>
      </c>
      <c r="BN311">
        <v>0</v>
      </c>
      <c r="BO311" t="s">
        <v>561</v>
      </c>
      <c r="BP311">
        <v>1</v>
      </c>
      <c r="BQ311">
        <v>60</v>
      </c>
      <c r="BR311">
        <v>0</v>
      </c>
      <c r="BS311">
        <v>30.1</v>
      </c>
      <c r="BT311">
        <v>1</v>
      </c>
      <c r="BU311">
        <v>1</v>
      </c>
      <c r="BV311">
        <v>1</v>
      </c>
      <c r="BW311">
        <v>1</v>
      </c>
      <c r="BX311">
        <v>1</v>
      </c>
      <c r="BY311" t="s">
        <v>3</v>
      </c>
      <c r="BZ311">
        <v>70</v>
      </c>
      <c r="CA311">
        <v>41</v>
      </c>
      <c r="CB311" t="s">
        <v>3</v>
      </c>
      <c r="CE311">
        <v>30</v>
      </c>
      <c r="CF311">
        <v>0</v>
      </c>
      <c r="CG311">
        <v>0</v>
      </c>
      <c r="CM311">
        <v>0</v>
      </c>
      <c r="CN311" t="s">
        <v>3</v>
      </c>
      <c r="CO311">
        <v>0</v>
      </c>
      <c r="CP311">
        <f t="shared" ref="CP311:CP324" si="297">(P311+Q311+S311)</f>
        <v>9498.36</v>
      </c>
      <c r="CQ311">
        <f t="shared" ref="CQ311:CQ324" si="298">ROUND((ROUND((AC311*AW311*1),2)*BC311),2)</f>
        <v>0</v>
      </c>
      <c r="CR311">
        <f>(ROUND((ROUND(((ET311)*AV311*1),2)*BB311),2)+ROUND((ROUND(((AE311-(EU311))*AV311*1),2)*BS311),2))</f>
        <v>0</v>
      </c>
      <c r="CS311">
        <f t="shared" ref="CS311:CS324" si="299">ROUND((ROUND((AE311*AV311*1),2)*BS311),2)</f>
        <v>0</v>
      </c>
      <c r="CT311">
        <f t="shared" ref="CT311:CT324" si="300">ROUND((ROUND((AF311*AV311*1),2)*BA311),2)</f>
        <v>52769.21</v>
      </c>
      <c r="CU311">
        <f t="shared" ref="CU311:CU324" si="301">AG311</f>
        <v>0</v>
      </c>
      <c r="CV311">
        <f t="shared" ref="CV311:CV324" si="302">(AH311*AV311)</f>
        <v>165.39</v>
      </c>
      <c r="CW311">
        <f t="shared" ref="CW311:CW324" si="303">AI311</f>
        <v>0</v>
      </c>
      <c r="CX311">
        <f t="shared" ref="CX311:CX324" si="304">AJ311</f>
        <v>0</v>
      </c>
      <c r="CY311">
        <f t="shared" ref="CY311:CY324" si="305">S311*(BZ311/100)</f>
        <v>6648.8519999999999</v>
      </c>
      <c r="CZ311">
        <f t="shared" ref="CZ311:CZ324" si="306">S311*(CA311/100)</f>
        <v>3894.3276000000001</v>
      </c>
      <c r="DC311" t="s">
        <v>3</v>
      </c>
      <c r="DD311" t="s">
        <v>3</v>
      </c>
      <c r="DE311" t="s">
        <v>3</v>
      </c>
      <c r="DF311" t="s">
        <v>3</v>
      </c>
      <c r="DG311" t="s">
        <v>3</v>
      </c>
      <c r="DH311" t="s">
        <v>3</v>
      </c>
      <c r="DI311" t="s">
        <v>3</v>
      </c>
      <c r="DJ311" t="s">
        <v>3</v>
      </c>
      <c r="DK311" t="s">
        <v>3</v>
      </c>
      <c r="DL311" t="s">
        <v>3</v>
      </c>
      <c r="DM311" t="s">
        <v>3</v>
      </c>
      <c r="DN311">
        <v>80</v>
      </c>
      <c r="DO311">
        <v>55</v>
      </c>
      <c r="DP311">
        <v>1</v>
      </c>
      <c r="DQ311">
        <v>1</v>
      </c>
      <c r="DU311">
        <v>1005</v>
      </c>
      <c r="DV311" t="s">
        <v>28</v>
      </c>
      <c r="DW311" t="s">
        <v>28</v>
      </c>
      <c r="DX311">
        <v>100</v>
      </c>
      <c r="DZ311" t="s">
        <v>3</v>
      </c>
      <c r="EA311" t="s">
        <v>3</v>
      </c>
      <c r="EB311" t="s">
        <v>3</v>
      </c>
      <c r="EC311" t="s">
        <v>3</v>
      </c>
      <c r="EE311">
        <v>53213187</v>
      </c>
      <c r="EF311">
        <v>60</v>
      </c>
      <c r="EG311" t="s">
        <v>22</v>
      </c>
      <c r="EH311">
        <v>0</v>
      </c>
      <c r="EI311" t="s">
        <v>3</v>
      </c>
      <c r="EJ311">
        <v>1</v>
      </c>
      <c r="EK311">
        <v>438</v>
      </c>
      <c r="EL311" t="s">
        <v>564</v>
      </c>
      <c r="EM311" t="s">
        <v>565</v>
      </c>
      <c r="EO311" t="s">
        <v>3</v>
      </c>
      <c r="EQ311">
        <v>0</v>
      </c>
      <c r="ER311">
        <v>1753.13</v>
      </c>
      <c r="ES311">
        <v>0</v>
      </c>
      <c r="ET311">
        <v>0</v>
      </c>
      <c r="EU311">
        <v>0</v>
      </c>
      <c r="EV311">
        <v>1753.13</v>
      </c>
      <c r="EW311">
        <v>165.39</v>
      </c>
      <c r="EX311">
        <v>0</v>
      </c>
      <c r="EY311">
        <v>0</v>
      </c>
      <c r="FQ311">
        <v>0</v>
      </c>
      <c r="FR311">
        <f t="shared" ref="FR311:FR324" si="307">ROUND(IF(BI311=3,GM311,0),2)</f>
        <v>0</v>
      </c>
      <c r="FS311">
        <v>0</v>
      </c>
      <c r="FX311">
        <v>80</v>
      </c>
      <c r="FY311">
        <v>55</v>
      </c>
      <c r="GA311" t="s">
        <v>3</v>
      </c>
      <c r="GD311">
        <v>0</v>
      </c>
      <c r="GF311">
        <v>831168959</v>
      </c>
      <c r="GG311">
        <v>2</v>
      </c>
      <c r="GH311">
        <v>1</v>
      </c>
      <c r="GI311">
        <v>2</v>
      </c>
      <c r="GJ311">
        <v>0</v>
      </c>
      <c r="GK311">
        <f>ROUND(R311*(R12)/100,2)</f>
        <v>0</v>
      </c>
      <c r="GL311">
        <f t="shared" ref="GL311:GL324" si="308">ROUND(IF(AND(BH311=3,BI311=3,FS311&lt;&gt;0),P311,0),2)</f>
        <v>0</v>
      </c>
      <c r="GM311">
        <f t="shared" ref="GM311:GM324" si="309">ROUND(O311+X311+Y311+GK311,2)+GX311</f>
        <v>20041.54</v>
      </c>
      <c r="GN311">
        <f t="shared" ref="GN311:GN324" si="310">IF(OR(BI311=0,BI311=1),GM311,0)</f>
        <v>20041.54</v>
      </c>
      <c r="GO311">
        <f t="shared" ref="GO311:GO324" si="311">IF(BI311=2,GM311,0)</f>
        <v>0</v>
      </c>
      <c r="GP311">
        <f t="shared" ref="GP311:GP324" si="312">IF(BI311=4,GM311+GX311,0)</f>
        <v>0</v>
      </c>
      <c r="GR311">
        <v>0</v>
      </c>
      <c r="GS311">
        <v>3</v>
      </c>
      <c r="GT311">
        <v>0</v>
      </c>
      <c r="GU311" t="s">
        <v>3</v>
      </c>
      <c r="GV311">
        <f t="shared" ref="GV311:GV324" si="313">ROUND((GT311),6)</f>
        <v>0</v>
      </c>
      <c r="GW311">
        <v>1</v>
      </c>
      <c r="GX311">
        <f t="shared" ref="GX311:GX324" si="314">ROUND(HC311*I311,2)</f>
        <v>0</v>
      </c>
      <c r="HA311">
        <v>0</v>
      </c>
      <c r="HB311">
        <v>0</v>
      </c>
      <c r="HC311">
        <f t="shared" ref="HC311:HC324" si="315">GV311*GW311</f>
        <v>0</v>
      </c>
      <c r="HE311" t="s">
        <v>3</v>
      </c>
      <c r="HF311" t="s">
        <v>3</v>
      </c>
      <c r="HM311" t="s">
        <v>3</v>
      </c>
      <c r="HN311" t="s">
        <v>3</v>
      </c>
      <c r="HO311" t="s">
        <v>3</v>
      </c>
      <c r="HP311" t="s">
        <v>3</v>
      </c>
      <c r="HQ311" t="s">
        <v>3</v>
      </c>
      <c r="IK311">
        <v>0</v>
      </c>
    </row>
    <row r="312" spans="1:245" x14ac:dyDescent="0.2">
      <c r="A312">
        <v>17</v>
      </c>
      <c r="B312">
        <v>1</v>
      </c>
      <c r="C312">
        <f>ROW(SmtRes!A323)</f>
        <v>323</v>
      </c>
      <c r="D312">
        <f>ROW(EtalonRes!A437)</f>
        <v>437</v>
      </c>
      <c r="E312" t="s">
        <v>566</v>
      </c>
      <c r="F312" t="s">
        <v>567</v>
      </c>
      <c r="G312" t="s">
        <v>568</v>
      </c>
      <c r="H312" t="s">
        <v>28</v>
      </c>
      <c r="I312">
        <f>ROUND(18/100,9)</f>
        <v>0.18</v>
      </c>
      <c r="J312">
        <v>0</v>
      </c>
      <c r="K312">
        <f>ROUND(18/100,9)</f>
        <v>0.18</v>
      </c>
      <c r="O312">
        <f t="shared" si="283"/>
        <v>21205.42</v>
      </c>
      <c r="P312">
        <f t="shared" si="284"/>
        <v>4788.01</v>
      </c>
      <c r="Q312">
        <f>(ROUND((ROUND((((ET312*1.25))*AV312*I312),2)*BB312),2)+ROUND((ROUND(((AE312-((EU312*1.25)))*AV312*I312),2)*BS312),2))</f>
        <v>813.87</v>
      </c>
      <c r="R312">
        <f t="shared" si="285"/>
        <v>280.23</v>
      </c>
      <c r="S312">
        <f t="shared" si="286"/>
        <v>15603.54</v>
      </c>
      <c r="T312">
        <f t="shared" si="287"/>
        <v>0</v>
      </c>
      <c r="U312">
        <f t="shared" si="288"/>
        <v>44.316629999999996</v>
      </c>
      <c r="V312">
        <f t="shared" si="289"/>
        <v>0</v>
      </c>
      <c r="W312">
        <f t="shared" si="290"/>
        <v>0</v>
      </c>
      <c r="X312">
        <f t="shared" si="291"/>
        <v>13575.08</v>
      </c>
      <c r="Y312">
        <f t="shared" si="292"/>
        <v>6397.45</v>
      </c>
      <c r="AA312">
        <v>53860087</v>
      </c>
      <c r="AB312">
        <f t="shared" si="293"/>
        <v>10824.9085</v>
      </c>
      <c r="AC312">
        <f t="shared" si="294"/>
        <v>7556.85</v>
      </c>
      <c r="AD312">
        <f>ROUND(((((ET312*1.25))-((EU312*1.25)))+AE312),6)</f>
        <v>388.125</v>
      </c>
      <c r="AE312">
        <f>ROUND(((EU312*1.25)),6)</f>
        <v>51.737499999999997</v>
      </c>
      <c r="AF312">
        <f>ROUND(((EV312*1.15)),6)</f>
        <v>2879.9335000000001</v>
      </c>
      <c r="AG312">
        <f t="shared" si="295"/>
        <v>0</v>
      </c>
      <c r="AH312">
        <f>((EW312*1.15))</f>
        <v>246.20349999999999</v>
      </c>
      <c r="AI312">
        <f>((EX312*1.25))</f>
        <v>0</v>
      </c>
      <c r="AJ312">
        <f t="shared" si="296"/>
        <v>0</v>
      </c>
      <c r="AK312">
        <v>10371.64</v>
      </c>
      <c r="AL312">
        <v>7556.85</v>
      </c>
      <c r="AM312">
        <v>310.5</v>
      </c>
      <c r="AN312">
        <v>41.39</v>
      </c>
      <c r="AO312">
        <v>2504.29</v>
      </c>
      <c r="AP312">
        <v>0</v>
      </c>
      <c r="AQ312">
        <v>214.09</v>
      </c>
      <c r="AR312">
        <v>0</v>
      </c>
      <c r="AS312">
        <v>0</v>
      </c>
      <c r="AT312">
        <v>87</v>
      </c>
      <c r="AU312">
        <v>41</v>
      </c>
      <c r="AV312">
        <v>1</v>
      </c>
      <c r="AW312">
        <v>1</v>
      </c>
      <c r="AZ312">
        <v>1</v>
      </c>
      <c r="BA312">
        <v>30.1</v>
      </c>
      <c r="BB312">
        <v>11.65</v>
      </c>
      <c r="BC312">
        <v>3.52</v>
      </c>
      <c r="BD312" t="s">
        <v>3</v>
      </c>
      <c r="BE312" t="s">
        <v>3</v>
      </c>
      <c r="BF312" t="s">
        <v>3</v>
      </c>
      <c r="BG312" t="s">
        <v>3</v>
      </c>
      <c r="BH312">
        <v>0</v>
      </c>
      <c r="BI312">
        <v>1</v>
      </c>
      <c r="BJ312" t="s">
        <v>569</v>
      </c>
      <c r="BM312">
        <v>1150</v>
      </c>
      <c r="BN312">
        <v>0</v>
      </c>
      <c r="BO312" t="s">
        <v>567</v>
      </c>
      <c r="BP312">
        <v>1</v>
      </c>
      <c r="BQ312">
        <v>30</v>
      </c>
      <c r="BR312">
        <v>0</v>
      </c>
      <c r="BS312">
        <v>30.1</v>
      </c>
      <c r="BT312">
        <v>1</v>
      </c>
      <c r="BU312">
        <v>1</v>
      </c>
      <c r="BV312">
        <v>1</v>
      </c>
      <c r="BW312">
        <v>1</v>
      </c>
      <c r="BX312">
        <v>1</v>
      </c>
      <c r="BY312" t="s">
        <v>3</v>
      </c>
      <c r="BZ312">
        <v>87</v>
      </c>
      <c r="CA312">
        <v>41</v>
      </c>
      <c r="CB312" t="s">
        <v>3</v>
      </c>
      <c r="CE312">
        <v>30</v>
      </c>
      <c r="CF312">
        <v>0</v>
      </c>
      <c r="CG312">
        <v>0</v>
      </c>
      <c r="CM312">
        <v>0</v>
      </c>
      <c r="CN312" t="s">
        <v>3</v>
      </c>
      <c r="CO312">
        <v>0</v>
      </c>
      <c r="CP312">
        <f t="shared" si="297"/>
        <v>21205.420000000002</v>
      </c>
      <c r="CQ312">
        <f t="shared" si="298"/>
        <v>26600.11</v>
      </c>
      <c r="CR312">
        <f>(ROUND((ROUND((((ET312*1.25))*AV312*1),2)*BB312),2)+ROUND((ROUND(((AE312-((EU312*1.25)))*AV312*1),2)*BS312),2))</f>
        <v>4521.71</v>
      </c>
      <c r="CS312">
        <f t="shared" si="299"/>
        <v>1557.37</v>
      </c>
      <c r="CT312">
        <f t="shared" si="300"/>
        <v>86685.89</v>
      </c>
      <c r="CU312">
        <f t="shared" si="301"/>
        <v>0</v>
      </c>
      <c r="CV312">
        <f t="shared" si="302"/>
        <v>246.20349999999999</v>
      </c>
      <c r="CW312">
        <f t="shared" si="303"/>
        <v>0</v>
      </c>
      <c r="CX312">
        <f t="shared" si="304"/>
        <v>0</v>
      </c>
      <c r="CY312">
        <f t="shared" si="305"/>
        <v>13575.079800000001</v>
      </c>
      <c r="CZ312">
        <f t="shared" si="306"/>
        <v>6397.4513999999999</v>
      </c>
      <c r="DC312" t="s">
        <v>3</v>
      </c>
      <c r="DD312" t="s">
        <v>3</v>
      </c>
      <c r="DE312" t="s">
        <v>51</v>
      </c>
      <c r="DF312" t="s">
        <v>51</v>
      </c>
      <c r="DG312" t="s">
        <v>52</v>
      </c>
      <c r="DH312" t="s">
        <v>3</v>
      </c>
      <c r="DI312" t="s">
        <v>52</v>
      </c>
      <c r="DJ312" t="s">
        <v>51</v>
      </c>
      <c r="DK312" t="s">
        <v>3</v>
      </c>
      <c r="DL312" t="s">
        <v>3</v>
      </c>
      <c r="DM312" t="s">
        <v>3</v>
      </c>
      <c r="DN312">
        <v>105</v>
      </c>
      <c r="DO312">
        <v>70</v>
      </c>
      <c r="DP312">
        <v>1</v>
      </c>
      <c r="DQ312">
        <v>1</v>
      </c>
      <c r="DU312">
        <v>1005</v>
      </c>
      <c r="DV312" t="s">
        <v>28</v>
      </c>
      <c r="DW312" t="s">
        <v>28</v>
      </c>
      <c r="DX312">
        <v>100</v>
      </c>
      <c r="DZ312" t="s">
        <v>3</v>
      </c>
      <c r="EA312" t="s">
        <v>3</v>
      </c>
      <c r="EB312" t="s">
        <v>3</v>
      </c>
      <c r="EC312" t="s">
        <v>3</v>
      </c>
      <c r="EE312">
        <v>53213899</v>
      </c>
      <c r="EF312">
        <v>30</v>
      </c>
      <c r="EG312" t="s">
        <v>37</v>
      </c>
      <c r="EH312">
        <v>0</v>
      </c>
      <c r="EI312" t="s">
        <v>3</v>
      </c>
      <c r="EJ312">
        <v>1</v>
      </c>
      <c r="EK312">
        <v>1150</v>
      </c>
      <c r="EL312" t="s">
        <v>570</v>
      </c>
      <c r="EM312" t="s">
        <v>571</v>
      </c>
      <c r="EO312" t="s">
        <v>3</v>
      </c>
      <c r="EQ312">
        <v>0</v>
      </c>
      <c r="ER312">
        <v>10371.64</v>
      </c>
      <c r="ES312">
        <v>7556.85</v>
      </c>
      <c r="ET312">
        <v>310.5</v>
      </c>
      <c r="EU312">
        <v>41.39</v>
      </c>
      <c r="EV312">
        <v>2504.29</v>
      </c>
      <c r="EW312">
        <v>214.09</v>
      </c>
      <c r="EX312">
        <v>0</v>
      </c>
      <c r="EY312">
        <v>0</v>
      </c>
      <c r="FQ312">
        <v>0</v>
      </c>
      <c r="FR312">
        <f t="shared" si="307"/>
        <v>0</v>
      </c>
      <c r="FS312">
        <v>0</v>
      </c>
      <c r="FX312">
        <v>105</v>
      </c>
      <c r="FY312">
        <v>70</v>
      </c>
      <c r="GA312" t="s">
        <v>3</v>
      </c>
      <c r="GD312">
        <v>0</v>
      </c>
      <c r="GF312">
        <v>1804836823</v>
      </c>
      <c r="GG312">
        <v>2</v>
      </c>
      <c r="GH312">
        <v>1</v>
      </c>
      <c r="GI312">
        <v>2</v>
      </c>
      <c r="GJ312">
        <v>0</v>
      </c>
      <c r="GK312">
        <f>ROUND(R312*(R12)/100,2)</f>
        <v>448.37</v>
      </c>
      <c r="GL312">
        <f t="shared" si="308"/>
        <v>0</v>
      </c>
      <c r="GM312">
        <f t="shared" si="309"/>
        <v>41626.32</v>
      </c>
      <c r="GN312">
        <f t="shared" si="310"/>
        <v>41626.32</v>
      </c>
      <c r="GO312">
        <f t="shared" si="311"/>
        <v>0</v>
      </c>
      <c r="GP312">
        <f t="shared" si="312"/>
        <v>0</v>
      </c>
      <c r="GR312">
        <v>0</v>
      </c>
      <c r="GS312">
        <v>3</v>
      </c>
      <c r="GT312">
        <v>0</v>
      </c>
      <c r="GU312" t="s">
        <v>3</v>
      </c>
      <c r="GV312">
        <f t="shared" si="313"/>
        <v>0</v>
      </c>
      <c r="GW312">
        <v>1</v>
      </c>
      <c r="GX312">
        <f t="shared" si="314"/>
        <v>0</v>
      </c>
      <c r="HA312">
        <v>0</v>
      </c>
      <c r="HB312">
        <v>0</v>
      </c>
      <c r="HC312">
        <f t="shared" si="315"/>
        <v>0</v>
      </c>
      <c r="HE312" t="s">
        <v>3</v>
      </c>
      <c r="HF312" t="s">
        <v>3</v>
      </c>
      <c r="HM312" t="s">
        <v>3</v>
      </c>
      <c r="HN312" t="s">
        <v>3</v>
      </c>
      <c r="HO312" t="s">
        <v>3</v>
      </c>
      <c r="HP312" t="s">
        <v>3</v>
      </c>
      <c r="HQ312" t="s">
        <v>3</v>
      </c>
      <c r="IK312">
        <v>0</v>
      </c>
    </row>
    <row r="313" spans="1:245" x14ac:dyDescent="0.2">
      <c r="A313">
        <v>18</v>
      </c>
      <c r="B313">
        <v>1</v>
      </c>
      <c r="C313">
        <v>320</v>
      </c>
      <c r="E313" t="s">
        <v>572</v>
      </c>
      <c r="F313" t="s">
        <v>573</v>
      </c>
      <c r="G313" t="s">
        <v>983</v>
      </c>
      <c r="H313" t="s">
        <v>125</v>
      </c>
      <c r="I313">
        <f>I312*J313</f>
        <v>77.22</v>
      </c>
      <c r="J313">
        <v>429</v>
      </c>
      <c r="K313">
        <v>429</v>
      </c>
      <c r="O313">
        <f t="shared" si="283"/>
        <v>1776.84</v>
      </c>
      <c r="P313">
        <f t="shared" si="284"/>
        <v>1776.84</v>
      </c>
      <c r="Q313">
        <f>(ROUND((ROUND(((ET313)*AV313*I313),2)*BB313),2)+ROUND((ROUND(((AE313-(EU313))*AV313*I313),2)*BS313),2))</f>
        <v>0</v>
      </c>
      <c r="R313">
        <f t="shared" si="285"/>
        <v>0</v>
      </c>
      <c r="S313">
        <f t="shared" si="286"/>
        <v>0</v>
      </c>
      <c r="T313">
        <f t="shared" si="287"/>
        <v>0</v>
      </c>
      <c r="U313">
        <f t="shared" si="288"/>
        <v>0</v>
      </c>
      <c r="V313">
        <f t="shared" si="289"/>
        <v>0</v>
      </c>
      <c r="W313">
        <f t="shared" si="290"/>
        <v>0</v>
      </c>
      <c r="X313">
        <f t="shared" si="291"/>
        <v>0</v>
      </c>
      <c r="Y313">
        <f t="shared" si="292"/>
        <v>0</v>
      </c>
      <c r="AA313">
        <v>53860087</v>
      </c>
      <c r="AB313">
        <f t="shared" si="293"/>
        <v>14.75</v>
      </c>
      <c r="AC313">
        <f t="shared" si="294"/>
        <v>14.75</v>
      </c>
      <c r="AD313">
        <f>ROUND((((ET313)-(EU313))+AE313),6)</f>
        <v>0</v>
      </c>
      <c r="AE313">
        <f t="shared" ref="AE313:AF316" si="316">ROUND((EU313),6)</f>
        <v>0</v>
      </c>
      <c r="AF313">
        <f t="shared" si="316"/>
        <v>0</v>
      </c>
      <c r="AG313">
        <f t="shared" si="295"/>
        <v>0</v>
      </c>
      <c r="AH313">
        <f t="shared" ref="AH313:AI316" si="317">(EW313)</f>
        <v>0</v>
      </c>
      <c r="AI313">
        <f t="shared" si="317"/>
        <v>0</v>
      </c>
      <c r="AJ313">
        <f t="shared" si="296"/>
        <v>0</v>
      </c>
      <c r="AK313">
        <v>14.75</v>
      </c>
      <c r="AL313">
        <v>14.75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1</v>
      </c>
      <c r="AW313">
        <v>1</v>
      </c>
      <c r="AZ313">
        <v>1</v>
      </c>
      <c r="BA313">
        <v>1</v>
      </c>
      <c r="BB313">
        <v>1</v>
      </c>
      <c r="BC313">
        <v>1.56</v>
      </c>
      <c r="BD313" t="s">
        <v>3</v>
      </c>
      <c r="BE313" t="s">
        <v>3</v>
      </c>
      <c r="BF313" t="s">
        <v>3</v>
      </c>
      <c r="BG313" t="s">
        <v>3</v>
      </c>
      <c r="BH313">
        <v>3</v>
      </c>
      <c r="BI313">
        <v>1</v>
      </c>
      <c r="BJ313" t="s">
        <v>574</v>
      </c>
      <c r="BM313">
        <v>1150</v>
      </c>
      <c r="BN313">
        <v>0</v>
      </c>
      <c r="BO313" t="s">
        <v>573</v>
      </c>
      <c r="BP313">
        <v>1</v>
      </c>
      <c r="BQ313">
        <v>30</v>
      </c>
      <c r="BR313">
        <v>0</v>
      </c>
      <c r="BS313">
        <v>1</v>
      </c>
      <c r="BT313">
        <v>1</v>
      </c>
      <c r="BU313">
        <v>1</v>
      </c>
      <c r="BV313">
        <v>1</v>
      </c>
      <c r="BW313">
        <v>1</v>
      </c>
      <c r="BX313">
        <v>1</v>
      </c>
      <c r="BY313" t="s">
        <v>3</v>
      </c>
      <c r="BZ313">
        <v>0</v>
      </c>
      <c r="CA313">
        <v>0</v>
      </c>
      <c r="CB313" t="s">
        <v>3</v>
      </c>
      <c r="CE313">
        <v>30</v>
      </c>
      <c r="CF313">
        <v>0</v>
      </c>
      <c r="CG313">
        <v>0</v>
      </c>
      <c r="CM313">
        <v>0</v>
      </c>
      <c r="CN313" t="s">
        <v>3</v>
      </c>
      <c r="CO313">
        <v>0</v>
      </c>
      <c r="CP313">
        <f t="shared" si="297"/>
        <v>1776.84</v>
      </c>
      <c r="CQ313">
        <f t="shared" si="298"/>
        <v>23.01</v>
      </c>
      <c r="CR313">
        <f>(ROUND((ROUND(((ET313)*AV313*1),2)*BB313),2)+ROUND((ROUND(((AE313-(EU313))*AV313*1),2)*BS313),2))</f>
        <v>0</v>
      </c>
      <c r="CS313">
        <f t="shared" si="299"/>
        <v>0</v>
      </c>
      <c r="CT313">
        <f t="shared" si="300"/>
        <v>0</v>
      </c>
      <c r="CU313">
        <f t="shared" si="301"/>
        <v>0</v>
      </c>
      <c r="CV313">
        <f t="shared" si="302"/>
        <v>0</v>
      </c>
      <c r="CW313">
        <f t="shared" si="303"/>
        <v>0</v>
      </c>
      <c r="CX313">
        <f t="shared" si="304"/>
        <v>0</v>
      </c>
      <c r="CY313">
        <f t="shared" si="305"/>
        <v>0</v>
      </c>
      <c r="CZ313">
        <f t="shared" si="306"/>
        <v>0</v>
      </c>
      <c r="DC313" t="s">
        <v>3</v>
      </c>
      <c r="DD313" t="s">
        <v>3</v>
      </c>
      <c r="DE313" t="s">
        <v>3</v>
      </c>
      <c r="DF313" t="s">
        <v>3</v>
      </c>
      <c r="DG313" t="s">
        <v>3</v>
      </c>
      <c r="DH313" t="s">
        <v>3</v>
      </c>
      <c r="DI313" t="s">
        <v>3</v>
      </c>
      <c r="DJ313" t="s">
        <v>3</v>
      </c>
      <c r="DK313" t="s">
        <v>3</v>
      </c>
      <c r="DL313" t="s">
        <v>3</v>
      </c>
      <c r="DM313" t="s">
        <v>3</v>
      </c>
      <c r="DN313">
        <v>105</v>
      </c>
      <c r="DO313">
        <v>70</v>
      </c>
      <c r="DP313">
        <v>1</v>
      </c>
      <c r="DQ313">
        <v>1</v>
      </c>
      <c r="DU313">
        <v>1003</v>
      </c>
      <c r="DV313" t="s">
        <v>125</v>
      </c>
      <c r="DW313" t="s">
        <v>125</v>
      </c>
      <c r="DX313">
        <v>1</v>
      </c>
      <c r="DZ313" t="s">
        <v>3</v>
      </c>
      <c r="EA313" t="s">
        <v>3</v>
      </c>
      <c r="EB313" t="s">
        <v>3</v>
      </c>
      <c r="EC313" t="s">
        <v>3</v>
      </c>
      <c r="EE313">
        <v>53213899</v>
      </c>
      <c r="EF313">
        <v>30</v>
      </c>
      <c r="EG313" t="s">
        <v>37</v>
      </c>
      <c r="EH313">
        <v>0</v>
      </c>
      <c r="EI313" t="s">
        <v>3</v>
      </c>
      <c r="EJ313">
        <v>1</v>
      </c>
      <c r="EK313">
        <v>1150</v>
      </c>
      <c r="EL313" t="s">
        <v>570</v>
      </c>
      <c r="EM313" t="s">
        <v>571</v>
      </c>
      <c r="EO313" t="s">
        <v>3</v>
      </c>
      <c r="EQ313">
        <v>0</v>
      </c>
      <c r="ER313">
        <v>14.75</v>
      </c>
      <c r="ES313">
        <v>14.75</v>
      </c>
      <c r="ET313">
        <v>0</v>
      </c>
      <c r="EU313">
        <v>0</v>
      </c>
      <c r="EV313">
        <v>0</v>
      </c>
      <c r="EW313">
        <v>0</v>
      </c>
      <c r="EX313">
        <v>0</v>
      </c>
      <c r="FQ313">
        <v>0</v>
      </c>
      <c r="FR313">
        <f t="shared" si="307"/>
        <v>0</v>
      </c>
      <c r="FS313">
        <v>0</v>
      </c>
      <c r="FX313">
        <v>105</v>
      </c>
      <c r="FY313">
        <v>70</v>
      </c>
      <c r="GA313" t="s">
        <v>3</v>
      </c>
      <c r="GD313">
        <v>0</v>
      </c>
      <c r="GF313">
        <v>1126939660</v>
      </c>
      <c r="GG313">
        <v>2</v>
      </c>
      <c r="GH313">
        <v>1</v>
      </c>
      <c r="GI313">
        <v>2</v>
      </c>
      <c r="GJ313">
        <v>0</v>
      </c>
      <c r="GK313">
        <f>ROUND(R313*(R12)/100,2)</f>
        <v>0</v>
      </c>
      <c r="GL313">
        <f t="shared" si="308"/>
        <v>0</v>
      </c>
      <c r="GM313">
        <f t="shared" si="309"/>
        <v>1776.84</v>
      </c>
      <c r="GN313">
        <f t="shared" si="310"/>
        <v>1776.84</v>
      </c>
      <c r="GO313">
        <f t="shared" si="311"/>
        <v>0</v>
      </c>
      <c r="GP313">
        <f t="shared" si="312"/>
        <v>0</v>
      </c>
      <c r="GR313">
        <v>0</v>
      </c>
      <c r="GS313">
        <v>3</v>
      </c>
      <c r="GT313">
        <v>0</v>
      </c>
      <c r="GU313" t="s">
        <v>3</v>
      </c>
      <c r="GV313">
        <f t="shared" si="313"/>
        <v>0</v>
      </c>
      <c r="GW313">
        <v>1</v>
      </c>
      <c r="GX313">
        <f t="shared" si="314"/>
        <v>0</v>
      </c>
      <c r="HA313">
        <v>0</v>
      </c>
      <c r="HB313">
        <v>0</v>
      </c>
      <c r="HC313">
        <f t="shared" si="315"/>
        <v>0</v>
      </c>
      <c r="HE313" t="s">
        <v>3</v>
      </c>
      <c r="HF313" t="s">
        <v>3</v>
      </c>
      <c r="HM313" t="s">
        <v>3</v>
      </c>
      <c r="HN313" t="s">
        <v>3</v>
      </c>
      <c r="HO313" t="s">
        <v>3</v>
      </c>
      <c r="HP313" t="s">
        <v>3</v>
      </c>
      <c r="HQ313" t="s">
        <v>3</v>
      </c>
      <c r="IK313">
        <v>0</v>
      </c>
    </row>
    <row r="314" spans="1:245" x14ac:dyDescent="0.2">
      <c r="A314">
        <v>18</v>
      </c>
      <c r="B314">
        <v>1</v>
      </c>
      <c r="C314">
        <v>318</v>
      </c>
      <c r="E314" t="s">
        <v>575</v>
      </c>
      <c r="F314" t="s">
        <v>576</v>
      </c>
      <c r="G314" t="s">
        <v>982</v>
      </c>
      <c r="H314" t="s">
        <v>125</v>
      </c>
      <c r="I314">
        <f>I312*J314</f>
        <v>12.059999999999999</v>
      </c>
      <c r="J314">
        <v>67</v>
      </c>
      <c r="K314">
        <v>67</v>
      </c>
      <c r="O314">
        <f t="shared" si="283"/>
        <v>254.73</v>
      </c>
      <c r="P314">
        <f t="shared" si="284"/>
        <v>254.73</v>
      </c>
      <c r="Q314">
        <f>(ROUND((ROUND(((ET314)*AV314*I314),2)*BB314),2)+ROUND((ROUND(((AE314-(EU314))*AV314*I314),2)*BS314),2))</f>
        <v>0</v>
      </c>
      <c r="R314">
        <f t="shared" si="285"/>
        <v>0</v>
      </c>
      <c r="S314">
        <f t="shared" si="286"/>
        <v>0</v>
      </c>
      <c r="T314">
        <f t="shared" si="287"/>
        <v>0</v>
      </c>
      <c r="U314">
        <f t="shared" si="288"/>
        <v>0</v>
      </c>
      <c r="V314">
        <f t="shared" si="289"/>
        <v>0</v>
      </c>
      <c r="W314">
        <f t="shared" si="290"/>
        <v>0</v>
      </c>
      <c r="X314">
        <f t="shared" si="291"/>
        <v>0</v>
      </c>
      <c r="Y314">
        <f t="shared" si="292"/>
        <v>0</v>
      </c>
      <c r="AA314">
        <v>53860087</v>
      </c>
      <c r="AB314">
        <f t="shared" si="293"/>
        <v>14.98</v>
      </c>
      <c r="AC314">
        <f t="shared" si="294"/>
        <v>14.98</v>
      </c>
      <c r="AD314">
        <f>ROUND((((ET314)-(EU314))+AE314),6)</f>
        <v>0</v>
      </c>
      <c r="AE314">
        <f t="shared" si="316"/>
        <v>0</v>
      </c>
      <c r="AF314">
        <f t="shared" si="316"/>
        <v>0</v>
      </c>
      <c r="AG314">
        <f t="shared" si="295"/>
        <v>0</v>
      </c>
      <c r="AH314">
        <f t="shared" si="317"/>
        <v>0</v>
      </c>
      <c r="AI314">
        <f t="shared" si="317"/>
        <v>0</v>
      </c>
      <c r="AJ314">
        <f t="shared" si="296"/>
        <v>0</v>
      </c>
      <c r="AK314">
        <v>14.98</v>
      </c>
      <c r="AL314">
        <v>14.98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1</v>
      </c>
      <c r="AW314">
        <v>1</v>
      </c>
      <c r="AZ314">
        <v>1</v>
      </c>
      <c r="BA314">
        <v>1</v>
      </c>
      <c r="BB314">
        <v>1</v>
      </c>
      <c r="BC314">
        <v>1.41</v>
      </c>
      <c r="BD314" t="s">
        <v>3</v>
      </c>
      <c r="BE314" t="s">
        <v>3</v>
      </c>
      <c r="BF314" t="s">
        <v>3</v>
      </c>
      <c r="BG314" t="s">
        <v>3</v>
      </c>
      <c r="BH314">
        <v>3</v>
      </c>
      <c r="BI314">
        <v>1</v>
      </c>
      <c r="BJ314" t="s">
        <v>577</v>
      </c>
      <c r="BM314">
        <v>1150</v>
      </c>
      <c r="BN314">
        <v>0</v>
      </c>
      <c r="BO314" t="s">
        <v>576</v>
      </c>
      <c r="BP314">
        <v>1</v>
      </c>
      <c r="BQ314">
        <v>30</v>
      </c>
      <c r="BR314">
        <v>0</v>
      </c>
      <c r="BS314">
        <v>1</v>
      </c>
      <c r="BT314">
        <v>1</v>
      </c>
      <c r="BU314">
        <v>1</v>
      </c>
      <c r="BV314">
        <v>1</v>
      </c>
      <c r="BW314">
        <v>1</v>
      </c>
      <c r="BX314">
        <v>1</v>
      </c>
      <c r="BY314" t="s">
        <v>3</v>
      </c>
      <c r="BZ314">
        <v>0</v>
      </c>
      <c r="CA314">
        <v>0</v>
      </c>
      <c r="CB314" t="s">
        <v>3</v>
      </c>
      <c r="CE314">
        <v>30</v>
      </c>
      <c r="CF314">
        <v>0</v>
      </c>
      <c r="CG314">
        <v>0</v>
      </c>
      <c r="CM314">
        <v>0</v>
      </c>
      <c r="CN314" t="s">
        <v>3</v>
      </c>
      <c r="CO314">
        <v>0</v>
      </c>
      <c r="CP314">
        <f t="shared" si="297"/>
        <v>254.73</v>
      </c>
      <c r="CQ314">
        <f t="shared" si="298"/>
        <v>21.12</v>
      </c>
      <c r="CR314">
        <f>(ROUND((ROUND(((ET314)*AV314*1),2)*BB314),2)+ROUND((ROUND(((AE314-(EU314))*AV314*1),2)*BS314),2))</f>
        <v>0</v>
      </c>
      <c r="CS314">
        <f t="shared" si="299"/>
        <v>0</v>
      </c>
      <c r="CT314">
        <f t="shared" si="300"/>
        <v>0</v>
      </c>
      <c r="CU314">
        <f t="shared" si="301"/>
        <v>0</v>
      </c>
      <c r="CV314">
        <f t="shared" si="302"/>
        <v>0</v>
      </c>
      <c r="CW314">
        <f t="shared" si="303"/>
        <v>0</v>
      </c>
      <c r="CX314">
        <f t="shared" si="304"/>
        <v>0</v>
      </c>
      <c r="CY314">
        <f t="shared" si="305"/>
        <v>0</v>
      </c>
      <c r="CZ314">
        <f t="shared" si="306"/>
        <v>0</v>
      </c>
      <c r="DC314" t="s">
        <v>3</v>
      </c>
      <c r="DD314" t="s">
        <v>3</v>
      </c>
      <c r="DE314" t="s">
        <v>3</v>
      </c>
      <c r="DF314" t="s">
        <v>3</v>
      </c>
      <c r="DG314" t="s">
        <v>3</v>
      </c>
      <c r="DH314" t="s">
        <v>3</v>
      </c>
      <c r="DI314" t="s">
        <v>3</v>
      </c>
      <c r="DJ314" t="s">
        <v>3</v>
      </c>
      <c r="DK314" t="s">
        <v>3</v>
      </c>
      <c r="DL314" t="s">
        <v>3</v>
      </c>
      <c r="DM314" t="s">
        <v>3</v>
      </c>
      <c r="DN314">
        <v>105</v>
      </c>
      <c r="DO314">
        <v>70</v>
      </c>
      <c r="DP314">
        <v>1</v>
      </c>
      <c r="DQ314">
        <v>1</v>
      </c>
      <c r="DU314">
        <v>1003</v>
      </c>
      <c r="DV314" t="s">
        <v>125</v>
      </c>
      <c r="DW314" t="s">
        <v>125</v>
      </c>
      <c r="DX314">
        <v>1</v>
      </c>
      <c r="DZ314" t="s">
        <v>3</v>
      </c>
      <c r="EA314" t="s">
        <v>3</v>
      </c>
      <c r="EB314" t="s">
        <v>3</v>
      </c>
      <c r="EC314" t="s">
        <v>3</v>
      </c>
      <c r="EE314">
        <v>53213899</v>
      </c>
      <c r="EF314">
        <v>30</v>
      </c>
      <c r="EG314" t="s">
        <v>37</v>
      </c>
      <c r="EH314">
        <v>0</v>
      </c>
      <c r="EI314" t="s">
        <v>3</v>
      </c>
      <c r="EJ314">
        <v>1</v>
      </c>
      <c r="EK314">
        <v>1150</v>
      </c>
      <c r="EL314" t="s">
        <v>570</v>
      </c>
      <c r="EM314" t="s">
        <v>571</v>
      </c>
      <c r="EO314" t="s">
        <v>3</v>
      </c>
      <c r="EQ314">
        <v>0</v>
      </c>
      <c r="ER314">
        <v>14.98</v>
      </c>
      <c r="ES314">
        <v>14.98</v>
      </c>
      <c r="ET314">
        <v>0</v>
      </c>
      <c r="EU314">
        <v>0</v>
      </c>
      <c r="EV314">
        <v>0</v>
      </c>
      <c r="EW314">
        <v>0</v>
      </c>
      <c r="EX314">
        <v>0</v>
      </c>
      <c r="FQ314">
        <v>0</v>
      </c>
      <c r="FR314">
        <f t="shared" si="307"/>
        <v>0</v>
      </c>
      <c r="FS314">
        <v>0</v>
      </c>
      <c r="FX314">
        <v>105</v>
      </c>
      <c r="FY314">
        <v>70</v>
      </c>
      <c r="GA314" t="s">
        <v>3</v>
      </c>
      <c r="GD314">
        <v>0</v>
      </c>
      <c r="GF314">
        <v>-999565663</v>
      </c>
      <c r="GG314">
        <v>2</v>
      </c>
      <c r="GH314">
        <v>1</v>
      </c>
      <c r="GI314">
        <v>2</v>
      </c>
      <c r="GJ314">
        <v>0</v>
      </c>
      <c r="GK314">
        <f>ROUND(R314*(R12)/100,2)</f>
        <v>0</v>
      </c>
      <c r="GL314">
        <f t="shared" si="308"/>
        <v>0</v>
      </c>
      <c r="GM314">
        <f t="shared" si="309"/>
        <v>254.73</v>
      </c>
      <c r="GN314">
        <f t="shared" si="310"/>
        <v>254.73</v>
      </c>
      <c r="GO314">
        <f t="shared" si="311"/>
        <v>0</v>
      </c>
      <c r="GP314">
        <f t="shared" si="312"/>
        <v>0</v>
      </c>
      <c r="GR314">
        <v>0</v>
      </c>
      <c r="GS314">
        <v>3</v>
      </c>
      <c r="GT314">
        <v>0</v>
      </c>
      <c r="GU314" t="s">
        <v>3</v>
      </c>
      <c r="GV314">
        <f t="shared" si="313"/>
        <v>0</v>
      </c>
      <c r="GW314">
        <v>1</v>
      </c>
      <c r="GX314">
        <f t="shared" si="314"/>
        <v>0</v>
      </c>
      <c r="HA314">
        <v>0</v>
      </c>
      <c r="HB314">
        <v>0</v>
      </c>
      <c r="HC314">
        <f t="shared" si="315"/>
        <v>0</v>
      </c>
      <c r="HE314" t="s">
        <v>3</v>
      </c>
      <c r="HF314" t="s">
        <v>3</v>
      </c>
      <c r="HM314" t="s">
        <v>3</v>
      </c>
      <c r="HN314" t="s">
        <v>3</v>
      </c>
      <c r="HO314" t="s">
        <v>3</v>
      </c>
      <c r="HP314" t="s">
        <v>3</v>
      </c>
      <c r="HQ314" t="s">
        <v>3</v>
      </c>
      <c r="IK314">
        <v>0</v>
      </c>
    </row>
    <row r="315" spans="1:245" x14ac:dyDescent="0.2">
      <c r="A315">
        <v>18</v>
      </c>
      <c r="B315">
        <v>1</v>
      </c>
      <c r="C315">
        <v>323</v>
      </c>
      <c r="E315" t="s">
        <v>578</v>
      </c>
      <c r="F315" t="s">
        <v>579</v>
      </c>
      <c r="G315" t="s">
        <v>580</v>
      </c>
      <c r="H315" t="s">
        <v>100</v>
      </c>
      <c r="I315">
        <f>I312*J315</f>
        <v>18</v>
      </c>
      <c r="J315">
        <v>100</v>
      </c>
      <c r="K315">
        <v>100</v>
      </c>
      <c r="O315">
        <f t="shared" si="283"/>
        <v>158132.81</v>
      </c>
      <c r="P315">
        <f t="shared" si="284"/>
        <v>158132.81</v>
      </c>
      <c r="Q315">
        <f>(ROUND((ROUND(((ET315)*AV315*I315),2)*BB315),2)+ROUND((ROUND(((AE315-(EU315))*AV315*I315),2)*BS315),2))</f>
        <v>0</v>
      </c>
      <c r="R315">
        <f t="shared" si="285"/>
        <v>0</v>
      </c>
      <c r="S315">
        <f t="shared" si="286"/>
        <v>0</v>
      </c>
      <c r="T315">
        <f t="shared" si="287"/>
        <v>0</v>
      </c>
      <c r="U315">
        <f t="shared" si="288"/>
        <v>0</v>
      </c>
      <c r="V315">
        <f t="shared" si="289"/>
        <v>0</v>
      </c>
      <c r="W315">
        <f t="shared" si="290"/>
        <v>0</v>
      </c>
      <c r="X315">
        <f t="shared" si="291"/>
        <v>0</v>
      </c>
      <c r="Y315">
        <f t="shared" si="292"/>
        <v>0</v>
      </c>
      <c r="AA315">
        <v>53860087</v>
      </c>
      <c r="AB315">
        <f t="shared" si="293"/>
        <v>4459.47</v>
      </c>
      <c r="AC315">
        <f t="shared" si="294"/>
        <v>4459.47</v>
      </c>
      <c r="AD315">
        <f>ROUND((((ET315)-(EU315))+AE315),6)</f>
        <v>0</v>
      </c>
      <c r="AE315">
        <f t="shared" si="316"/>
        <v>0</v>
      </c>
      <c r="AF315">
        <f t="shared" si="316"/>
        <v>0</v>
      </c>
      <c r="AG315">
        <f t="shared" si="295"/>
        <v>0</v>
      </c>
      <c r="AH315">
        <f t="shared" si="317"/>
        <v>0</v>
      </c>
      <c r="AI315">
        <f t="shared" si="317"/>
        <v>0</v>
      </c>
      <c r="AJ315">
        <f t="shared" si="296"/>
        <v>0</v>
      </c>
      <c r="AK315">
        <v>4459.47</v>
      </c>
      <c r="AL315">
        <v>4459.47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1</v>
      </c>
      <c r="AW315">
        <v>1</v>
      </c>
      <c r="AZ315">
        <v>1</v>
      </c>
      <c r="BA315">
        <v>1</v>
      </c>
      <c r="BB315">
        <v>1</v>
      </c>
      <c r="BC315">
        <v>1.97</v>
      </c>
      <c r="BD315" t="s">
        <v>3</v>
      </c>
      <c r="BE315" t="s">
        <v>3</v>
      </c>
      <c r="BF315" t="s">
        <v>3</v>
      </c>
      <c r="BG315" t="s">
        <v>3</v>
      </c>
      <c r="BH315">
        <v>3</v>
      </c>
      <c r="BI315">
        <v>1</v>
      </c>
      <c r="BJ315" t="s">
        <v>581</v>
      </c>
      <c r="BM315">
        <v>1150</v>
      </c>
      <c r="BN315">
        <v>0</v>
      </c>
      <c r="BO315" t="s">
        <v>579</v>
      </c>
      <c r="BP315">
        <v>1</v>
      </c>
      <c r="BQ315">
        <v>30</v>
      </c>
      <c r="BR315">
        <v>0</v>
      </c>
      <c r="BS315">
        <v>1</v>
      </c>
      <c r="BT315">
        <v>1</v>
      </c>
      <c r="BU315">
        <v>1</v>
      </c>
      <c r="BV315">
        <v>1</v>
      </c>
      <c r="BW315">
        <v>1</v>
      </c>
      <c r="BX315">
        <v>1</v>
      </c>
      <c r="BY315" t="s">
        <v>3</v>
      </c>
      <c r="BZ315">
        <v>0</v>
      </c>
      <c r="CA315">
        <v>0</v>
      </c>
      <c r="CB315" t="s">
        <v>3</v>
      </c>
      <c r="CE315">
        <v>30</v>
      </c>
      <c r="CF315">
        <v>0</v>
      </c>
      <c r="CG315">
        <v>0</v>
      </c>
      <c r="CM315">
        <v>0</v>
      </c>
      <c r="CN315" t="s">
        <v>3</v>
      </c>
      <c r="CO315">
        <v>0</v>
      </c>
      <c r="CP315">
        <f t="shared" si="297"/>
        <v>158132.81</v>
      </c>
      <c r="CQ315">
        <f t="shared" si="298"/>
        <v>8785.16</v>
      </c>
      <c r="CR315">
        <f>(ROUND((ROUND(((ET315)*AV315*1),2)*BB315),2)+ROUND((ROUND(((AE315-(EU315))*AV315*1),2)*BS315),2))</f>
        <v>0</v>
      </c>
      <c r="CS315">
        <f t="shared" si="299"/>
        <v>0</v>
      </c>
      <c r="CT315">
        <f t="shared" si="300"/>
        <v>0</v>
      </c>
      <c r="CU315">
        <f t="shared" si="301"/>
        <v>0</v>
      </c>
      <c r="CV315">
        <f t="shared" si="302"/>
        <v>0</v>
      </c>
      <c r="CW315">
        <f t="shared" si="303"/>
        <v>0</v>
      </c>
      <c r="CX315">
        <f t="shared" si="304"/>
        <v>0</v>
      </c>
      <c r="CY315">
        <f t="shared" si="305"/>
        <v>0</v>
      </c>
      <c r="CZ315">
        <f t="shared" si="306"/>
        <v>0</v>
      </c>
      <c r="DC315" t="s">
        <v>3</v>
      </c>
      <c r="DD315" t="s">
        <v>3</v>
      </c>
      <c r="DE315" t="s">
        <v>3</v>
      </c>
      <c r="DF315" t="s">
        <v>3</v>
      </c>
      <c r="DG315" t="s">
        <v>3</v>
      </c>
      <c r="DH315" t="s">
        <v>3</v>
      </c>
      <c r="DI315" t="s">
        <v>3</v>
      </c>
      <c r="DJ315" t="s">
        <v>3</v>
      </c>
      <c r="DK315" t="s">
        <v>3</v>
      </c>
      <c r="DL315" t="s">
        <v>3</v>
      </c>
      <c r="DM315" t="s">
        <v>3</v>
      </c>
      <c r="DN315">
        <v>105</v>
      </c>
      <c r="DO315">
        <v>70</v>
      </c>
      <c r="DP315">
        <v>1</v>
      </c>
      <c r="DQ315">
        <v>1</v>
      </c>
      <c r="DU315">
        <v>1005</v>
      </c>
      <c r="DV315" t="s">
        <v>100</v>
      </c>
      <c r="DW315" t="s">
        <v>100</v>
      </c>
      <c r="DX315">
        <v>1</v>
      </c>
      <c r="DZ315" t="s">
        <v>3</v>
      </c>
      <c r="EA315" t="s">
        <v>3</v>
      </c>
      <c r="EB315" t="s">
        <v>3</v>
      </c>
      <c r="EC315" t="s">
        <v>3</v>
      </c>
      <c r="EE315">
        <v>53213899</v>
      </c>
      <c r="EF315">
        <v>30</v>
      </c>
      <c r="EG315" t="s">
        <v>37</v>
      </c>
      <c r="EH315">
        <v>0</v>
      </c>
      <c r="EI315" t="s">
        <v>3</v>
      </c>
      <c r="EJ315">
        <v>1</v>
      </c>
      <c r="EK315">
        <v>1150</v>
      </c>
      <c r="EL315" t="s">
        <v>570</v>
      </c>
      <c r="EM315" t="s">
        <v>571</v>
      </c>
      <c r="EO315" t="s">
        <v>3</v>
      </c>
      <c r="EQ315">
        <v>0</v>
      </c>
      <c r="ER315">
        <v>4459.47</v>
      </c>
      <c r="ES315">
        <v>4459.47</v>
      </c>
      <c r="ET315">
        <v>0</v>
      </c>
      <c r="EU315">
        <v>0</v>
      </c>
      <c r="EV315">
        <v>0</v>
      </c>
      <c r="EW315">
        <v>0</v>
      </c>
      <c r="EX315">
        <v>0</v>
      </c>
      <c r="FQ315">
        <v>0</v>
      </c>
      <c r="FR315">
        <f t="shared" si="307"/>
        <v>0</v>
      </c>
      <c r="FS315">
        <v>0</v>
      </c>
      <c r="FX315">
        <v>105</v>
      </c>
      <c r="FY315">
        <v>70</v>
      </c>
      <c r="GA315" t="s">
        <v>3</v>
      </c>
      <c r="GD315">
        <v>0</v>
      </c>
      <c r="GF315">
        <v>640050581</v>
      </c>
      <c r="GG315">
        <v>2</v>
      </c>
      <c r="GH315">
        <v>1</v>
      </c>
      <c r="GI315">
        <v>2</v>
      </c>
      <c r="GJ315">
        <v>0</v>
      </c>
      <c r="GK315">
        <f>ROUND(R315*(R12)/100,2)</f>
        <v>0</v>
      </c>
      <c r="GL315">
        <f t="shared" si="308"/>
        <v>0</v>
      </c>
      <c r="GM315">
        <f t="shared" si="309"/>
        <v>158132.81</v>
      </c>
      <c r="GN315">
        <f t="shared" si="310"/>
        <v>158132.81</v>
      </c>
      <c r="GO315">
        <f t="shared" si="311"/>
        <v>0</v>
      </c>
      <c r="GP315">
        <f t="shared" si="312"/>
        <v>0</v>
      </c>
      <c r="GR315">
        <v>0</v>
      </c>
      <c r="GS315">
        <v>3</v>
      </c>
      <c r="GT315">
        <v>0</v>
      </c>
      <c r="GU315" t="s">
        <v>3</v>
      </c>
      <c r="GV315">
        <f t="shared" si="313"/>
        <v>0</v>
      </c>
      <c r="GW315">
        <v>1</v>
      </c>
      <c r="GX315">
        <f t="shared" si="314"/>
        <v>0</v>
      </c>
      <c r="HA315">
        <v>0</v>
      </c>
      <c r="HB315">
        <v>0</v>
      </c>
      <c r="HC315">
        <f t="shared" si="315"/>
        <v>0</v>
      </c>
      <c r="HE315" t="s">
        <v>3</v>
      </c>
      <c r="HF315" t="s">
        <v>3</v>
      </c>
      <c r="HM315" t="s">
        <v>3</v>
      </c>
      <c r="HN315" t="s">
        <v>3</v>
      </c>
      <c r="HO315" t="s">
        <v>3</v>
      </c>
      <c r="HP315" t="s">
        <v>3</v>
      </c>
      <c r="HQ315" t="s">
        <v>3</v>
      </c>
      <c r="IK315">
        <v>0</v>
      </c>
    </row>
    <row r="316" spans="1:245" x14ac:dyDescent="0.2">
      <c r="A316">
        <v>18</v>
      </c>
      <c r="B316">
        <v>1</v>
      </c>
      <c r="C316">
        <v>321</v>
      </c>
      <c r="E316" t="s">
        <v>582</v>
      </c>
      <c r="F316" t="s">
        <v>583</v>
      </c>
      <c r="G316" t="s">
        <v>584</v>
      </c>
      <c r="H316" t="s">
        <v>125</v>
      </c>
      <c r="I316">
        <f>I312*J316</f>
        <v>48.78</v>
      </c>
      <c r="J316">
        <v>271</v>
      </c>
      <c r="K316">
        <v>271</v>
      </c>
      <c r="O316">
        <f t="shared" si="283"/>
        <v>230.31</v>
      </c>
      <c r="P316">
        <f t="shared" si="284"/>
        <v>230.31</v>
      </c>
      <c r="Q316">
        <f>(ROUND((ROUND(((ET316)*AV316*I316),2)*BB316),2)+ROUND((ROUND(((AE316-(EU316))*AV316*I316),2)*BS316),2))</f>
        <v>0</v>
      </c>
      <c r="R316">
        <f t="shared" si="285"/>
        <v>0</v>
      </c>
      <c r="S316">
        <f t="shared" si="286"/>
        <v>0</v>
      </c>
      <c r="T316">
        <f t="shared" si="287"/>
        <v>0</v>
      </c>
      <c r="U316">
        <f t="shared" si="288"/>
        <v>0</v>
      </c>
      <c r="V316">
        <f t="shared" si="289"/>
        <v>0</v>
      </c>
      <c r="W316">
        <f t="shared" si="290"/>
        <v>0</v>
      </c>
      <c r="X316">
        <f t="shared" si="291"/>
        <v>0</v>
      </c>
      <c r="Y316">
        <f t="shared" si="292"/>
        <v>0</v>
      </c>
      <c r="AA316">
        <v>53860087</v>
      </c>
      <c r="AB316">
        <f t="shared" si="293"/>
        <v>5.49</v>
      </c>
      <c r="AC316">
        <f t="shared" si="294"/>
        <v>5.49</v>
      </c>
      <c r="AD316">
        <f>ROUND((((ET316)-(EU316))+AE316),6)</f>
        <v>0</v>
      </c>
      <c r="AE316">
        <f t="shared" si="316"/>
        <v>0</v>
      </c>
      <c r="AF316">
        <f t="shared" si="316"/>
        <v>0</v>
      </c>
      <c r="AG316">
        <f t="shared" si="295"/>
        <v>0</v>
      </c>
      <c r="AH316">
        <f t="shared" si="317"/>
        <v>0</v>
      </c>
      <c r="AI316">
        <f t="shared" si="317"/>
        <v>0</v>
      </c>
      <c r="AJ316">
        <f t="shared" si="296"/>
        <v>0</v>
      </c>
      <c r="AK316">
        <v>5.49</v>
      </c>
      <c r="AL316">
        <v>5.49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1</v>
      </c>
      <c r="AW316">
        <v>1</v>
      </c>
      <c r="AZ316">
        <v>1</v>
      </c>
      <c r="BA316">
        <v>1</v>
      </c>
      <c r="BB316">
        <v>1</v>
      </c>
      <c r="BC316">
        <v>0.86</v>
      </c>
      <c r="BD316" t="s">
        <v>3</v>
      </c>
      <c r="BE316" t="s">
        <v>3</v>
      </c>
      <c r="BF316" t="s">
        <v>3</v>
      </c>
      <c r="BG316" t="s">
        <v>3</v>
      </c>
      <c r="BH316">
        <v>3</v>
      </c>
      <c r="BI316">
        <v>1</v>
      </c>
      <c r="BJ316" t="s">
        <v>585</v>
      </c>
      <c r="BM316">
        <v>1150</v>
      </c>
      <c r="BN316">
        <v>0</v>
      </c>
      <c r="BO316" t="s">
        <v>583</v>
      </c>
      <c r="BP316">
        <v>1</v>
      </c>
      <c r="BQ316">
        <v>30</v>
      </c>
      <c r="BR316">
        <v>0</v>
      </c>
      <c r="BS316">
        <v>1</v>
      </c>
      <c r="BT316">
        <v>1</v>
      </c>
      <c r="BU316">
        <v>1</v>
      </c>
      <c r="BV316">
        <v>1</v>
      </c>
      <c r="BW316">
        <v>1</v>
      </c>
      <c r="BX316">
        <v>1</v>
      </c>
      <c r="BY316" t="s">
        <v>3</v>
      </c>
      <c r="BZ316">
        <v>0</v>
      </c>
      <c r="CA316">
        <v>0</v>
      </c>
      <c r="CB316" t="s">
        <v>3</v>
      </c>
      <c r="CE316">
        <v>30</v>
      </c>
      <c r="CF316">
        <v>0</v>
      </c>
      <c r="CG316">
        <v>0</v>
      </c>
      <c r="CM316">
        <v>0</v>
      </c>
      <c r="CN316" t="s">
        <v>3</v>
      </c>
      <c r="CO316">
        <v>0</v>
      </c>
      <c r="CP316">
        <f t="shared" si="297"/>
        <v>230.31</v>
      </c>
      <c r="CQ316">
        <f t="shared" si="298"/>
        <v>4.72</v>
      </c>
      <c r="CR316">
        <f>(ROUND((ROUND(((ET316)*AV316*1),2)*BB316),2)+ROUND((ROUND(((AE316-(EU316))*AV316*1),2)*BS316),2))</f>
        <v>0</v>
      </c>
      <c r="CS316">
        <f t="shared" si="299"/>
        <v>0</v>
      </c>
      <c r="CT316">
        <f t="shared" si="300"/>
        <v>0</v>
      </c>
      <c r="CU316">
        <f t="shared" si="301"/>
        <v>0</v>
      </c>
      <c r="CV316">
        <f t="shared" si="302"/>
        <v>0</v>
      </c>
      <c r="CW316">
        <f t="shared" si="303"/>
        <v>0</v>
      </c>
      <c r="CX316">
        <f t="shared" si="304"/>
        <v>0</v>
      </c>
      <c r="CY316">
        <f t="shared" si="305"/>
        <v>0</v>
      </c>
      <c r="CZ316">
        <f t="shared" si="306"/>
        <v>0</v>
      </c>
      <c r="DC316" t="s">
        <v>3</v>
      </c>
      <c r="DD316" t="s">
        <v>3</v>
      </c>
      <c r="DE316" t="s">
        <v>3</v>
      </c>
      <c r="DF316" t="s">
        <v>3</v>
      </c>
      <c r="DG316" t="s">
        <v>3</v>
      </c>
      <c r="DH316" t="s">
        <v>3</v>
      </c>
      <c r="DI316" t="s">
        <v>3</v>
      </c>
      <c r="DJ316" t="s">
        <v>3</v>
      </c>
      <c r="DK316" t="s">
        <v>3</v>
      </c>
      <c r="DL316" t="s">
        <v>3</v>
      </c>
      <c r="DM316" t="s">
        <v>3</v>
      </c>
      <c r="DN316">
        <v>105</v>
      </c>
      <c r="DO316">
        <v>70</v>
      </c>
      <c r="DP316">
        <v>1</v>
      </c>
      <c r="DQ316">
        <v>1</v>
      </c>
      <c r="DU316">
        <v>1003</v>
      </c>
      <c r="DV316" t="s">
        <v>125</v>
      </c>
      <c r="DW316" t="s">
        <v>125</v>
      </c>
      <c r="DX316">
        <v>1</v>
      </c>
      <c r="DZ316" t="s">
        <v>3</v>
      </c>
      <c r="EA316" t="s">
        <v>3</v>
      </c>
      <c r="EB316" t="s">
        <v>3</v>
      </c>
      <c r="EC316" t="s">
        <v>3</v>
      </c>
      <c r="EE316">
        <v>53213899</v>
      </c>
      <c r="EF316">
        <v>30</v>
      </c>
      <c r="EG316" t="s">
        <v>37</v>
      </c>
      <c r="EH316">
        <v>0</v>
      </c>
      <c r="EI316" t="s">
        <v>3</v>
      </c>
      <c r="EJ316">
        <v>1</v>
      </c>
      <c r="EK316">
        <v>1150</v>
      </c>
      <c r="EL316" t="s">
        <v>570</v>
      </c>
      <c r="EM316" t="s">
        <v>571</v>
      </c>
      <c r="EO316" t="s">
        <v>3</v>
      </c>
      <c r="EQ316">
        <v>0</v>
      </c>
      <c r="ER316">
        <v>5.49</v>
      </c>
      <c r="ES316">
        <v>5.49</v>
      </c>
      <c r="ET316">
        <v>0</v>
      </c>
      <c r="EU316">
        <v>0</v>
      </c>
      <c r="EV316">
        <v>0</v>
      </c>
      <c r="EW316">
        <v>0</v>
      </c>
      <c r="EX316">
        <v>0</v>
      </c>
      <c r="FQ316">
        <v>0</v>
      </c>
      <c r="FR316">
        <f t="shared" si="307"/>
        <v>0</v>
      </c>
      <c r="FS316">
        <v>0</v>
      </c>
      <c r="FX316">
        <v>105</v>
      </c>
      <c r="FY316">
        <v>70</v>
      </c>
      <c r="GA316" t="s">
        <v>3</v>
      </c>
      <c r="GD316">
        <v>0</v>
      </c>
      <c r="GF316">
        <v>-983055835</v>
      </c>
      <c r="GG316">
        <v>2</v>
      </c>
      <c r="GH316">
        <v>1</v>
      </c>
      <c r="GI316">
        <v>2</v>
      </c>
      <c r="GJ316">
        <v>0</v>
      </c>
      <c r="GK316">
        <f>ROUND(R316*(R12)/100,2)</f>
        <v>0</v>
      </c>
      <c r="GL316">
        <f t="shared" si="308"/>
        <v>0</v>
      </c>
      <c r="GM316">
        <f t="shared" si="309"/>
        <v>230.31</v>
      </c>
      <c r="GN316">
        <f t="shared" si="310"/>
        <v>230.31</v>
      </c>
      <c r="GO316">
        <f t="shared" si="311"/>
        <v>0</v>
      </c>
      <c r="GP316">
        <f t="shared" si="312"/>
        <v>0</v>
      </c>
      <c r="GR316">
        <v>0</v>
      </c>
      <c r="GS316">
        <v>3</v>
      </c>
      <c r="GT316">
        <v>0</v>
      </c>
      <c r="GU316" t="s">
        <v>3</v>
      </c>
      <c r="GV316">
        <f t="shared" si="313"/>
        <v>0</v>
      </c>
      <c r="GW316">
        <v>1</v>
      </c>
      <c r="GX316">
        <f t="shared" si="314"/>
        <v>0</v>
      </c>
      <c r="HA316">
        <v>0</v>
      </c>
      <c r="HB316">
        <v>0</v>
      </c>
      <c r="HC316">
        <f t="shared" si="315"/>
        <v>0</v>
      </c>
      <c r="HE316" t="s">
        <v>3</v>
      </c>
      <c r="HF316" t="s">
        <v>3</v>
      </c>
      <c r="HM316" t="s">
        <v>3</v>
      </c>
      <c r="HN316" t="s">
        <v>3</v>
      </c>
      <c r="HO316" t="s">
        <v>3</v>
      </c>
      <c r="HP316" t="s">
        <v>3</v>
      </c>
      <c r="HQ316" t="s">
        <v>3</v>
      </c>
      <c r="IK316">
        <v>0</v>
      </c>
    </row>
    <row r="317" spans="1:245" x14ac:dyDescent="0.2">
      <c r="A317">
        <v>17</v>
      </c>
      <c r="B317">
        <v>1</v>
      </c>
      <c r="C317">
        <f>ROW(SmtRes!A328)</f>
        <v>328</v>
      </c>
      <c r="D317">
        <f>ROW(EtalonRes!A442)</f>
        <v>442</v>
      </c>
      <c r="E317" t="s">
        <v>586</v>
      </c>
      <c r="F317" t="s">
        <v>587</v>
      </c>
      <c r="G317" t="s">
        <v>588</v>
      </c>
      <c r="H317" t="s">
        <v>150</v>
      </c>
      <c r="I317">
        <f>ROUND(27/100,9)</f>
        <v>0.27</v>
      </c>
      <c r="J317">
        <v>0</v>
      </c>
      <c r="K317">
        <f>ROUND(27/100,9)</f>
        <v>0.27</v>
      </c>
      <c r="O317">
        <f t="shared" si="283"/>
        <v>4607.1899999999996</v>
      </c>
      <c r="P317">
        <f t="shared" si="284"/>
        <v>2459.0700000000002</v>
      </c>
      <c r="Q317">
        <f>(ROUND((ROUND((((ET317*1.25))*AV317*I317),2)*BB317),2)+ROUND((ROUND(((AE317-((EU317*1.25)))*AV317*I317),2)*BS317),2))</f>
        <v>57.67</v>
      </c>
      <c r="R317">
        <f t="shared" si="285"/>
        <v>21.97</v>
      </c>
      <c r="S317">
        <f t="shared" si="286"/>
        <v>2090.4499999999998</v>
      </c>
      <c r="T317">
        <f t="shared" si="287"/>
        <v>0</v>
      </c>
      <c r="U317">
        <f t="shared" si="288"/>
        <v>6.0547499999999994</v>
      </c>
      <c r="V317">
        <f t="shared" si="289"/>
        <v>0</v>
      </c>
      <c r="W317">
        <f t="shared" si="290"/>
        <v>0</v>
      </c>
      <c r="X317">
        <f t="shared" si="291"/>
        <v>1818.69</v>
      </c>
      <c r="Y317">
        <f t="shared" si="292"/>
        <v>857.08</v>
      </c>
      <c r="AA317">
        <v>53860087</v>
      </c>
      <c r="AB317">
        <f t="shared" si="293"/>
        <v>2133.5929999999998</v>
      </c>
      <c r="AC317">
        <f t="shared" si="294"/>
        <v>1858.71</v>
      </c>
      <c r="AD317">
        <f>ROUND(((((ET317*1.25))-((EU317*1.25)))+AE317),6)</f>
        <v>17.662500000000001</v>
      </c>
      <c r="AE317">
        <f>ROUND(((EU317*1.25)),6)</f>
        <v>2.6875</v>
      </c>
      <c r="AF317">
        <f>ROUND(((EV317*1.15)),6)</f>
        <v>257.22050000000002</v>
      </c>
      <c r="AG317">
        <f t="shared" si="295"/>
        <v>0</v>
      </c>
      <c r="AH317">
        <f>((EW317*1.15))</f>
        <v>22.424999999999997</v>
      </c>
      <c r="AI317">
        <f>((EX317*1.25))</f>
        <v>0</v>
      </c>
      <c r="AJ317">
        <f t="shared" si="296"/>
        <v>0</v>
      </c>
      <c r="AK317">
        <v>2096.5100000000002</v>
      </c>
      <c r="AL317">
        <v>1858.71</v>
      </c>
      <c r="AM317">
        <v>14.13</v>
      </c>
      <c r="AN317">
        <v>2.15</v>
      </c>
      <c r="AO317">
        <v>223.67</v>
      </c>
      <c r="AP317">
        <v>0</v>
      </c>
      <c r="AQ317">
        <v>19.5</v>
      </c>
      <c r="AR317">
        <v>0</v>
      </c>
      <c r="AS317">
        <v>0</v>
      </c>
      <c r="AT317">
        <v>87</v>
      </c>
      <c r="AU317">
        <v>41</v>
      </c>
      <c r="AV317">
        <v>1</v>
      </c>
      <c r="AW317">
        <v>1</v>
      </c>
      <c r="AZ317">
        <v>1</v>
      </c>
      <c r="BA317">
        <v>30.1</v>
      </c>
      <c r="BB317">
        <v>12.09</v>
      </c>
      <c r="BC317">
        <v>4.9000000000000004</v>
      </c>
      <c r="BD317" t="s">
        <v>3</v>
      </c>
      <c r="BE317" t="s">
        <v>3</v>
      </c>
      <c r="BF317" t="s">
        <v>3</v>
      </c>
      <c r="BG317" t="s">
        <v>3</v>
      </c>
      <c r="BH317">
        <v>0</v>
      </c>
      <c r="BI317">
        <v>1</v>
      </c>
      <c r="BJ317" t="s">
        <v>589</v>
      </c>
      <c r="BM317">
        <v>1150</v>
      </c>
      <c r="BN317">
        <v>0</v>
      </c>
      <c r="BO317" t="s">
        <v>587</v>
      </c>
      <c r="BP317">
        <v>1</v>
      </c>
      <c r="BQ317">
        <v>30</v>
      </c>
      <c r="BR317">
        <v>0</v>
      </c>
      <c r="BS317">
        <v>30.1</v>
      </c>
      <c r="BT317">
        <v>1</v>
      </c>
      <c r="BU317">
        <v>1</v>
      </c>
      <c r="BV317">
        <v>1</v>
      </c>
      <c r="BW317">
        <v>1</v>
      </c>
      <c r="BX317">
        <v>1</v>
      </c>
      <c r="BY317" t="s">
        <v>3</v>
      </c>
      <c r="BZ317">
        <v>87</v>
      </c>
      <c r="CA317">
        <v>41</v>
      </c>
      <c r="CB317" t="s">
        <v>3</v>
      </c>
      <c r="CE317">
        <v>30</v>
      </c>
      <c r="CF317">
        <v>0</v>
      </c>
      <c r="CG317">
        <v>0</v>
      </c>
      <c r="CM317">
        <v>0</v>
      </c>
      <c r="CN317" t="s">
        <v>3</v>
      </c>
      <c r="CO317">
        <v>0</v>
      </c>
      <c r="CP317">
        <f t="shared" si="297"/>
        <v>4607.1900000000005</v>
      </c>
      <c r="CQ317">
        <f t="shared" si="298"/>
        <v>9107.68</v>
      </c>
      <c r="CR317">
        <f>(ROUND((ROUND((((ET317*1.25))*AV317*1),2)*BB317),2)+ROUND((ROUND(((AE317-((EU317*1.25)))*AV317*1),2)*BS317),2))</f>
        <v>213.51</v>
      </c>
      <c r="CS317">
        <f t="shared" si="299"/>
        <v>80.97</v>
      </c>
      <c r="CT317">
        <f t="shared" si="300"/>
        <v>7742.32</v>
      </c>
      <c r="CU317">
        <f t="shared" si="301"/>
        <v>0</v>
      </c>
      <c r="CV317">
        <f t="shared" si="302"/>
        <v>22.424999999999997</v>
      </c>
      <c r="CW317">
        <f t="shared" si="303"/>
        <v>0</v>
      </c>
      <c r="CX317">
        <f t="shared" si="304"/>
        <v>0</v>
      </c>
      <c r="CY317">
        <f t="shared" si="305"/>
        <v>1818.6914999999999</v>
      </c>
      <c r="CZ317">
        <f t="shared" si="306"/>
        <v>857.08449999999982</v>
      </c>
      <c r="DC317" t="s">
        <v>3</v>
      </c>
      <c r="DD317" t="s">
        <v>3</v>
      </c>
      <c r="DE317" t="s">
        <v>51</v>
      </c>
      <c r="DF317" t="s">
        <v>51</v>
      </c>
      <c r="DG317" t="s">
        <v>52</v>
      </c>
      <c r="DH317" t="s">
        <v>3</v>
      </c>
      <c r="DI317" t="s">
        <v>52</v>
      </c>
      <c r="DJ317" t="s">
        <v>51</v>
      </c>
      <c r="DK317" t="s">
        <v>3</v>
      </c>
      <c r="DL317" t="s">
        <v>3</v>
      </c>
      <c r="DM317" t="s">
        <v>3</v>
      </c>
      <c r="DN317">
        <v>105</v>
      </c>
      <c r="DO317">
        <v>70</v>
      </c>
      <c r="DP317">
        <v>1</v>
      </c>
      <c r="DQ317">
        <v>1</v>
      </c>
      <c r="DU317">
        <v>1003</v>
      </c>
      <c r="DV317" t="s">
        <v>150</v>
      </c>
      <c r="DW317" t="s">
        <v>150</v>
      </c>
      <c r="DX317">
        <v>100</v>
      </c>
      <c r="DZ317" t="s">
        <v>3</v>
      </c>
      <c r="EA317" t="s">
        <v>3</v>
      </c>
      <c r="EB317" t="s">
        <v>3</v>
      </c>
      <c r="EC317" t="s">
        <v>3</v>
      </c>
      <c r="EE317">
        <v>53213899</v>
      </c>
      <c r="EF317">
        <v>30</v>
      </c>
      <c r="EG317" t="s">
        <v>37</v>
      </c>
      <c r="EH317">
        <v>0</v>
      </c>
      <c r="EI317" t="s">
        <v>3</v>
      </c>
      <c r="EJ317">
        <v>1</v>
      </c>
      <c r="EK317">
        <v>1150</v>
      </c>
      <c r="EL317" t="s">
        <v>570</v>
      </c>
      <c r="EM317" t="s">
        <v>571</v>
      </c>
      <c r="EO317" t="s">
        <v>3</v>
      </c>
      <c r="EQ317">
        <v>0</v>
      </c>
      <c r="ER317">
        <v>2096.5100000000002</v>
      </c>
      <c r="ES317">
        <v>1858.71</v>
      </c>
      <c r="ET317">
        <v>14.13</v>
      </c>
      <c r="EU317">
        <v>2.15</v>
      </c>
      <c r="EV317">
        <v>223.67</v>
      </c>
      <c r="EW317">
        <v>19.5</v>
      </c>
      <c r="EX317">
        <v>0</v>
      </c>
      <c r="EY317">
        <v>0</v>
      </c>
      <c r="FQ317">
        <v>0</v>
      </c>
      <c r="FR317">
        <f t="shared" si="307"/>
        <v>0</v>
      </c>
      <c r="FS317">
        <v>0</v>
      </c>
      <c r="FX317">
        <v>105</v>
      </c>
      <c r="FY317">
        <v>70</v>
      </c>
      <c r="GA317" t="s">
        <v>3</v>
      </c>
      <c r="GD317">
        <v>0</v>
      </c>
      <c r="GF317">
        <v>-361038343</v>
      </c>
      <c r="GG317">
        <v>2</v>
      </c>
      <c r="GH317">
        <v>1</v>
      </c>
      <c r="GI317">
        <v>2</v>
      </c>
      <c r="GJ317">
        <v>0</v>
      </c>
      <c r="GK317">
        <f>ROUND(R317*(R12)/100,2)</f>
        <v>35.15</v>
      </c>
      <c r="GL317">
        <f t="shared" si="308"/>
        <v>0</v>
      </c>
      <c r="GM317">
        <f t="shared" si="309"/>
        <v>7318.11</v>
      </c>
      <c r="GN317">
        <f t="shared" si="310"/>
        <v>7318.11</v>
      </c>
      <c r="GO317">
        <f t="shared" si="311"/>
        <v>0</v>
      </c>
      <c r="GP317">
        <f t="shared" si="312"/>
        <v>0</v>
      </c>
      <c r="GR317">
        <v>0</v>
      </c>
      <c r="GS317">
        <v>3</v>
      </c>
      <c r="GT317">
        <v>0</v>
      </c>
      <c r="GU317" t="s">
        <v>3</v>
      </c>
      <c r="GV317">
        <f t="shared" si="313"/>
        <v>0</v>
      </c>
      <c r="GW317">
        <v>1</v>
      </c>
      <c r="GX317">
        <f t="shared" si="314"/>
        <v>0</v>
      </c>
      <c r="HA317">
        <v>0</v>
      </c>
      <c r="HB317">
        <v>0</v>
      </c>
      <c r="HC317">
        <f t="shared" si="315"/>
        <v>0</v>
      </c>
      <c r="HE317" t="s">
        <v>3</v>
      </c>
      <c r="HF317" t="s">
        <v>3</v>
      </c>
      <c r="HM317" t="s">
        <v>3</v>
      </c>
      <c r="HN317" t="s">
        <v>3</v>
      </c>
      <c r="HO317" t="s">
        <v>3</v>
      </c>
      <c r="HP317" t="s">
        <v>3</v>
      </c>
      <c r="HQ317" t="s">
        <v>3</v>
      </c>
      <c r="IK317">
        <v>0</v>
      </c>
    </row>
    <row r="318" spans="1:245" x14ac:dyDescent="0.2">
      <c r="A318">
        <v>18</v>
      </c>
      <c r="B318">
        <v>1</v>
      </c>
      <c r="C318">
        <v>328</v>
      </c>
      <c r="E318" t="s">
        <v>590</v>
      </c>
      <c r="F318" t="s">
        <v>591</v>
      </c>
      <c r="G318" t="s">
        <v>592</v>
      </c>
      <c r="H318" t="s">
        <v>125</v>
      </c>
      <c r="I318">
        <f>I317*J318</f>
        <v>27</v>
      </c>
      <c r="J318">
        <v>100</v>
      </c>
      <c r="K318">
        <v>100</v>
      </c>
      <c r="O318">
        <f t="shared" si="283"/>
        <v>12919.07</v>
      </c>
      <c r="P318">
        <f t="shared" si="284"/>
        <v>12919.07</v>
      </c>
      <c r="Q318">
        <f>(ROUND((ROUND(((ET318)*AV318*I318),2)*BB318),2)+ROUND((ROUND(((AE318-(EU318))*AV318*I318),2)*BS318),2))</f>
        <v>0</v>
      </c>
      <c r="R318">
        <f t="shared" si="285"/>
        <v>0</v>
      </c>
      <c r="S318">
        <f t="shared" si="286"/>
        <v>0</v>
      </c>
      <c r="T318">
        <f t="shared" si="287"/>
        <v>0</v>
      </c>
      <c r="U318">
        <f t="shared" si="288"/>
        <v>0</v>
      </c>
      <c r="V318">
        <f t="shared" si="289"/>
        <v>0</v>
      </c>
      <c r="W318">
        <f t="shared" si="290"/>
        <v>0</v>
      </c>
      <c r="X318">
        <f t="shared" si="291"/>
        <v>0</v>
      </c>
      <c r="Y318">
        <f t="shared" si="292"/>
        <v>0</v>
      </c>
      <c r="AA318">
        <v>53860087</v>
      </c>
      <c r="AB318">
        <f t="shared" si="293"/>
        <v>156.88</v>
      </c>
      <c r="AC318">
        <f t="shared" si="294"/>
        <v>156.88</v>
      </c>
      <c r="AD318">
        <f>ROUND((((ET318)-(EU318))+AE318),6)</f>
        <v>0</v>
      </c>
      <c r="AE318">
        <f t="shared" ref="AE318:AF321" si="318">ROUND((EU318),6)</f>
        <v>0</v>
      </c>
      <c r="AF318">
        <f t="shared" si="318"/>
        <v>0</v>
      </c>
      <c r="AG318">
        <f t="shared" si="295"/>
        <v>0</v>
      </c>
      <c r="AH318">
        <f t="shared" ref="AH318:AI321" si="319">(EW318)</f>
        <v>0</v>
      </c>
      <c r="AI318">
        <f t="shared" si="319"/>
        <v>0</v>
      </c>
      <c r="AJ318">
        <f t="shared" si="296"/>
        <v>0</v>
      </c>
      <c r="AK318">
        <v>156.88</v>
      </c>
      <c r="AL318">
        <v>156.88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1</v>
      </c>
      <c r="AW318">
        <v>1</v>
      </c>
      <c r="AZ318">
        <v>1</v>
      </c>
      <c r="BA318">
        <v>1</v>
      </c>
      <c r="BB318">
        <v>1</v>
      </c>
      <c r="BC318">
        <v>3.05</v>
      </c>
      <c r="BD318" t="s">
        <v>3</v>
      </c>
      <c r="BE318" t="s">
        <v>3</v>
      </c>
      <c r="BF318" t="s">
        <v>3</v>
      </c>
      <c r="BG318" t="s">
        <v>3</v>
      </c>
      <c r="BH318">
        <v>3</v>
      </c>
      <c r="BI318">
        <v>1</v>
      </c>
      <c r="BJ318" t="s">
        <v>593</v>
      </c>
      <c r="BM318">
        <v>1150</v>
      </c>
      <c r="BN318">
        <v>0</v>
      </c>
      <c r="BO318" t="s">
        <v>591</v>
      </c>
      <c r="BP318">
        <v>1</v>
      </c>
      <c r="BQ318">
        <v>30</v>
      </c>
      <c r="BR318">
        <v>0</v>
      </c>
      <c r="BS318">
        <v>1</v>
      </c>
      <c r="BT318">
        <v>1</v>
      </c>
      <c r="BU318">
        <v>1</v>
      </c>
      <c r="BV318">
        <v>1</v>
      </c>
      <c r="BW318">
        <v>1</v>
      </c>
      <c r="BX318">
        <v>1</v>
      </c>
      <c r="BY318" t="s">
        <v>3</v>
      </c>
      <c r="BZ318">
        <v>0</v>
      </c>
      <c r="CA318">
        <v>0</v>
      </c>
      <c r="CB318" t="s">
        <v>3</v>
      </c>
      <c r="CE318">
        <v>30</v>
      </c>
      <c r="CF318">
        <v>0</v>
      </c>
      <c r="CG318">
        <v>0</v>
      </c>
      <c r="CM318">
        <v>0</v>
      </c>
      <c r="CN318" t="s">
        <v>3</v>
      </c>
      <c r="CO318">
        <v>0</v>
      </c>
      <c r="CP318">
        <f t="shared" si="297"/>
        <v>12919.07</v>
      </c>
      <c r="CQ318">
        <f t="shared" si="298"/>
        <v>478.48</v>
      </c>
      <c r="CR318">
        <f>(ROUND((ROUND(((ET318)*AV318*1),2)*BB318),2)+ROUND((ROUND(((AE318-(EU318))*AV318*1),2)*BS318),2))</f>
        <v>0</v>
      </c>
      <c r="CS318">
        <f t="shared" si="299"/>
        <v>0</v>
      </c>
      <c r="CT318">
        <f t="shared" si="300"/>
        <v>0</v>
      </c>
      <c r="CU318">
        <f t="shared" si="301"/>
        <v>0</v>
      </c>
      <c r="CV318">
        <f t="shared" si="302"/>
        <v>0</v>
      </c>
      <c r="CW318">
        <f t="shared" si="303"/>
        <v>0</v>
      </c>
      <c r="CX318">
        <f t="shared" si="304"/>
        <v>0</v>
      </c>
      <c r="CY318">
        <f t="shared" si="305"/>
        <v>0</v>
      </c>
      <c r="CZ318">
        <f t="shared" si="306"/>
        <v>0</v>
      </c>
      <c r="DC318" t="s">
        <v>3</v>
      </c>
      <c r="DD318" t="s">
        <v>3</v>
      </c>
      <c r="DE318" t="s">
        <v>3</v>
      </c>
      <c r="DF318" t="s">
        <v>3</v>
      </c>
      <c r="DG318" t="s">
        <v>3</v>
      </c>
      <c r="DH318" t="s">
        <v>3</v>
      </c>
      <c r="DI318" t="s">
        <v>3</v>
      </c>
      <c r="DJ318" t="s">
        <v>3</v>
      </c>
      <c r="DK318" t="s">
        <v>3</v>
      </c>
      <c r="DL318" t="s">
        <v>3</v>
      </c>
      <c r="DM318" t="s">
        <v>3</v>
      </c>
      <c r="DN318">
        <v>105</v>
      </c>
      <c r="DO318">
        <v>70</v>
      </c>
      <c r="DP318">
        <v>1</v>
      </c>
      <c r="DQ318">
        <v>1</v>
      </c>
      <c r="DU318">
        <v>1003</v>
      </c>
      <c r="DV318" t="s">
        <v>125</v>
      </c>
      <c r="DW318" t="s">
        <v>125</v>
      </c>
      <c r="DX318">
        <v>1</v>
      </c>
      <c r="DZ318" t="s">
        <v>3</v>
      </c>
      <c r="EA318" t="s">
        <v>3</v>
      </c>
      <c r="EB318" t="s">
        <v>3</v>
      </c>
      <c r="EC318" t="s">
        <v>3</v>
      </c>
      <c r="EE318">
        <v>53213899</v>
      </c>
      <c r="EF318">
        <v>30</v>
      </c>
      <c r="EG318" t="s">
        <v>37</v>
      </c>
      <c r="EH318">
        <v>0</v>
      </c>
      <c r="EI318" t="s">
        <v>3</v>
      </c>
      <c r="EJ318">
        <v>1</v>
      </c>
      <c r="EK318">
        <v>1150</v>
      </c>
      <c r="EL318" t="s">
        <v>570</v>
      </c>
      <c r="EM318" t="s">
        <v>571</v>
      </c>
      <c r="EO318" t="s">
        <v>3</v>
      </c>
      <c r="EQ318">
        <v>0</v>
      </c>
      <c r="ER318">
        <v>156.88</v>
      </c>
      <c r="ES318">
        <v>156.88</v>
      </c>
      <c r="ET318">
        <v>0</v>
      </c>
      <c r="EU318">
        <v>0</v>
      </c>
      <c r="EV318">
        <v>0</v>
      </c>
      <c r="EW318">
        <v>0</v>
      </c>
      <c r="EX318">
        <v>0</v>
      </c>
      <c r="FQ318">
        <v>0</v>
      </c>
      <c r="FR318">
        <f t="shared" si="307"/>
        <v>0</v>
      </c>
      <c r="FS318">
        <v>0</v>
      </c>
      <c r="FX318">
        <v>105</v>
      </c>
      <c r="FY318">
        <v>70</v>
      </c>
      <c r="GA318" t="s">
        <v>3</v>
      </c>
      <c r="GD318">
        <v>0</v>
      </c>
      <c r="GF318">
        <v>-825674047</v>
      </c>
      <c r="GG318">
        <v>2</v>
      </c>
      <c r="GH318">
        <v>1</v>
      </c>
      <c r="GI318">
        <v>2</v>
      </c>
      <c r="GJ318">
        <v>0</v>
      </c>
      <c r="GK318">
        <f>ROUND(R318*(R12)/100,2)</f>
        <v>0</v>
      </c>
      <c r="GL318">
        <f t="shared" si="308"/>
        <v>0</v>
      </c>
      <c r="GM318">
        <f t="shared" si="309"/>
        <v>12919.07</v>
      </c>
      <c r="GN318">
        <f t="shared" si="310"/>
        <v>12919.07</v>
      </c>
      <c r="GO318">
        <f t="shared" si="311"/>
        <v>0</v>
      </c>
      <c r="GP318">
        <f t="shared" si="312"/>
        <v>0</v>
      </c>
      <c r="GR318">
        <v>0</v>
      </c>
      <c r="GS318">
        <v>3</v>
      </c>
      <c r="GT318">
        <v>0</v>
      </c>
      <c r="GU318" t="s">
        <v>3</v>
      </c>
      <c r="GV318">
        <f t="shared" si="313"/>
        <v>0</v>
      </c>
      <c r="GW318">
        <v>1</v>
      </c>
      <c r="GX318">
        <f t="shared" si="314"/>
        <v>0</v>
      </c>
      <c r="HA318">
        <v>0</v>
      </c>
      <c r="HB318">
        <v>0</v>
      </c>
      <c r="HC318">
        <f t="shared" si="315"/>
        <v>0</v>
      </c>
      <c r="HE318" t="s">
        <v>3</v>
      </c>
      <c r="HF318" t="s">
        <v>3</v>
      </c>
      <c r="HM318" t="s">
        <v>3</v>
      </c>
      <c r="HN318" t="s">
        <v>3</v>
      </c>
      <c r="HO318" t="s">
        <v>3</v>
      </c>
      <c r="HP318" t="s">
        <v>3</v>
      </c>
      <c r="HQ318" t="s">
        <v>3</v>
      </c>
      <c r="IK318">
        <v>0</v>
      </c>
    </row>
    <row r="319" spans="1:245" x14ac:dyDescent="0.2">
      <c r="A319">
        <v>18</v>
      </c>
      <c r="B319">
        <v>1</v>
      </c>
      <c r="C319">
        <v>327</v>
      </c>
      <c r="E319" t="s">
        <v>594</v>
      </c>
      <c r="F319" t="s">
        <v>595</v>
      </c>
      <c r="G319" t="s">
        <v>596</v>
      </c>
      <c r="H319" t="s">
        <v>536</v>
      </c>
      <c r="I319">
        <f>I317*J319</f>
        <v>36</v>
      </c>
      <c r="J319">
        <v>133.33333333333331</v>
      </c>
      <c r="K319">
        <v>133.33333300000001</v>
      </c>
      <c r="O319">
        <f t="shared" si="283"/>
        <v>1631.77</v>
      </c>
      <c r="P319">
        <f t="shared" si="284"/>
        <v>1631.77</v>
      </c>
      <c r="Q319">
        <f>(ROUND((ROUND(((ET319)*AV319*I319),2)*BB319),2)+ROUND((ROUND(((AE319-(EU319))*AV319*I319),2)*BS319),2))</f>
        <v>0</v>
      </c>
      <c r="R319">
        <f t="shared" si="285"/>
        <v>0</v>
      </c>
      <c r="S319">
        <f t="shared" si="286"/>
        <v>0</v>
      </c>
      <c r="T319">
        <f t="shared" si="287"/>
        <v>0</v>
      </c>
      <c r="U319">
        <f t="shared" si="288"/>
        <v>0</v>
      </c>
      <c r="V319">
        <f t="shared" si="289"/>
        <v>0</v>
      </c>
      <c r="W319">
        <f t="shared" si="290"/>
        <v>0</v>
      </c>
      <c r="X319">
        <f t="shared" si="291"/>
        <v>0</v>
      </c>
      <c r="Y319">
        <f t="shared" si="292"/>
        <v>0</v>
      </c>
      <c r="AA319">
        <v>53860087</v>
      </c>
      <c r="AB319">
        <f t="shared" si="293"/>
        <v>10.42</v>
      </c>
      <c r="AC319">
        <f t="shared" si="294"/>
        <v>10.42</v>
      </c>
      <c r="AD319">
        <f>ROUND((((ET319)-(EU319))+AE319),6)</f>
        <v>0</v>
      </c>
      <c r="AE319">
        <f t="shared" si="318"/>
        <v>0</v>
      </c>
      <c r="AF319">
        <f t="shared" si="318"/>
        <v>0</v>
      </c>
      <c r="AG319">
        <f t="shared" si="295"/>
        <v>0</v>
      </c>
      <c r="AH319">
        <f t="shared" si="319"/>
        <v>0</v>
      </c>
      <c r="AI319">
        <f t="shared" si="319"/>
        <v>0</v>
      </c>
      <c r="AJ319">
        <f t="shared" si="296"/>
        <v>0</v>
      </c>
      <c r="AK319">
        <v>10.42</v>
      </c>
      <c r="AL319">
        <v>10.42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1</v>
      </c>
      <c r="AW319">
        <v>1</v>
      </c>
      <c r="AZ319">
        <v>1</v>
      </c>
      <c r="BA319">
        <v>1</v>
      </c>
      <c r="BB319">
        <v>1</v>
      </c>
      <c r="BC319">
        <v>4.3499999999999996</v>
      </c>
      <c r="BD319" t="s">
        <v>3</v>
      </c>
      <c r="BE319" t="s">
        <v>3</v>
      </c>
      <c r="BF319" t="s">
        <v>3</v>
      </c>
      <c r="BG319" t="s">
        <v>3</v>
      </c>
      <c r="BH319">
        <v>3</v>
      </c>
      <c r="BI319">
        <v>1</v>
      </c>
      <c r="BJ319" t="s">
        <v>597</v>
      </c>
      <c r="BM319">
        <v>1150</v>
      </c>
      <c r="BN319">
        <v>0</v>
      </c>
      <c r="BO319" t="s">
        <v>595</v>
      </c>
      <c r="BP319">
        <v>1</v>
      </c>
      <c r="BQ319">
        <v>30</v>
      </c>
      <c r="BR319">
        <v>0</v>
      </c>
      <c r="BS319">
        <v>1</v>
      </c>
      <c r="BT319">
        <v>1</v>
      </c>
      <c r="BU319">
        <v>1</v>
      </c>
      <c r="BV319">
        <v>1</v>
      </c>
      <c r="BW319">
        <v>1</v>
      </c>
      <c r="BX319">
        <v>1</v>
      </c>
      <c r="BY319" t="s">
        <v>3</v>
      </c>
      <c r="BZ319">
        <v>0</v>
      </c>
      <c r="CA319">
        <v>0</v>
      </c>
      <c r="CB319" t="s">
        <v>3</v>
      </c>
      <c r="CE319">
        <v>30</v>
      </c>
      <c r="CF319">
        <v>0</v>
      </c>
      <c r="CG319">
        <v>0</v>
      </c>
      <c r="CM319">
        <v>0</v>
      </c>
      <c r="CN319" t="s">
        <v>3</v>
      </c>
      <c r="CO319">
        <v>0</v>
      </c>
      <c r="CP319">
        <f t="shared" si="297"/>
        <v>1631.77</v>
      </c>
      <c r="CQ319">
        <f t="shared" si="298"/>
        <v>45.33</v>
      </c>
      <c r="CR319">
        <f>(ROUND((ROUND(((ET319)*AV319*1),2)*BB319),2)+ROUND((ROUND(((AE319-(EU319))*AV319*1),2)*BS319),2))</f>
        <v>0</v>
      </c>
      <c r="CS319">
        <f t="shared" si="299"/>
        <v>0</v>
      </c>
      <c r="CT319">
        <f t="shared" si="300"/>
        <v>0</v>
      </c>
      <c r="CU319">
        <f t="shared" si="301"/>
        <v>0</v>
      </c>
      <c r="CV319">
        <f t="shared" si="302"/>
        <v>0</v>
      </c>
      <c r="CW319">
        <f t="shared" si="303"/>
        <v>0</v>
      </c>
      <c r="CX319">
        <f t="shared" si="304"/>
        <v>0</v>
      </c>
      <c r="CY319">
        <f t="shared" si="305"/>
        <v>0</v>
      </c>
      <c r="CZ319">
        <f t="shared" si="306"/>
        <v>0</v>
      </c>
      <c r="DC319" t="s">
        <v>3</v>
      </c>
      <c r="DD319" t="s">
        <v>3</v>
      </c>
      <c r="DE319" t="s">
        <v>3</v>
      </c>
      <c r="DF319" t="s">
        <v>3</v>
      </c>
      <c r="DG319" t="s">
        <v>3</v>
      </c>
      <c r="DH319" t="s">
        <v>3</v>
      </c>
      <c r="DI319" t="s">
        <v>3</v>
      </c>
      <c r="DJ319" t="s">
        <v>3</v>
      </c>
      <c r="DK319" t="s">
        <v>3</v>
      </c>
      <c r="DL319" t="s">
        <v>3</v>
      </c>
      <c r="DM319" t="s">
        <v>3</v>
      </c>
      <c r="DN319">
        <v>105</v>
      </c>
      <c r="DO319">
        <v>70</v>
      </c>
      <c r="DP319">
        <v>1</v>
      </c>
      <c r="DQ319">
        <v>1</v>
      </c>
      <c r="DU319">
        <v>1010</v>
      </c>
      <c r="DV319" t="s">
        <v>536</v>
      </c>
      <c r="DW319" t="s">
        <v>536</v>
      </c>
      <c r="DX319">
        <v>1</v>
      </c>
      <c r="DZ319" t="s">
        <v>3</v>
      </c>
      <c r="EA319" t="s">
        <v>3</v>
      </c>
      <c r="EB319" t="s">
        <v>3</v>
      </c>
      <c r="EC319" t="s">
        <v>3</v>
      </c>
      <c r="EE319">
        <v>53213899</v>
      </c>
      <c r="EF319">
        <v>30</v>
      </c>
      <c r="EG319" t="s">
        <v>37</v>
      </c>
      <c r="EH319">
        <v>0</v>
      </c>
      <c r="EI319" t="s">
        <v>3</v>
      </c>
      <c r="EJ319">
        <v>1</v>
      </c>
      <c r="EK319">
        <v>1150</v>
      </c>
      <c r="EL319" t="s">
        <v>570</v>
      </c>
      <c r="EM319" t="s">
        <v>571</v>
      </c>
      <c r="EO319" t="s">
        <v>3</v>
      </c>
      <c r="EQ319">
        <v>0</v>
      </c>
      <c r="ER319">
        <v>10.42</v>
      </c>
      <c r="ES319">
        <v>10.42</v>
      </c>
      <c r="ET319">
        <v>0</v>
      </c>
      <c r="EU319">
        <v>0</v>
      </c>
      <c r="EV319">
        <v>0</v>
      </c>
      <c r="EW319">
        <v>0</v>
      </c>
      <c r="EX319">
        <v>0</v>
      </c>
      <c r="FQ319">
        <v>0</v>
      </c>
      <c r="FR319">
        <f t="shared" si="307"/>
        <v>0</v>
      </c>
      <c r="FS319">
        <v>0</v>
      </c>
      <c r="FX319">
        <v>105</v>
      </c>
      <c r="FY319">
        <v>70</v>
      </c>
      <c r="GA319" t="s">
        <v>3</v>
      </c>
      <c r="GD319">
        <v>0</v>
      </c>
      <c r="GF319">
        <v>1116063226</v>
      </c>
      <c r="GG319">
        <v>2</v>
      </c>
      <c r="GH319">
        <v>1</v>
      </c>
      <c r="GI319">
        <v>2</v>
      </c>
      <c r="GJ319">
        <v>0</v>
      </c>
      <c r="GK319">
        <f>ROUND(R319*(R12)/100,2)</f>
        <v>0</v>
      </c>
      <c r="GL319">
        <f t="shared" si="308"/>
        <v>0</v>
      </c>
      <c r="GM319">
        <f t="shared" si="309"/>
        <v>1631.77</v>
      </c>
      <c r="GN319">
        <f t="shared" si="310"/>
        <v>1631.77</v>
      </c>
      <c r="GO319">
        <f t="shared" si="311"/>
        <v>0</v>
      </c>
      <c r="GP319">
        <f t="shared" si="312"/>
        <v>0</v>
      </c>
      <c r="GR319">
        <v>0</v>
      </c>
      <c r="GS319">
        <v>3</v>
      </c>
      <c r="GT319">
        <v>0</v>
      </c>
      <c r="GU319" t="s">
        <v>3</v>
      </c>
      <c r="GV319">
        <f t="shared" si="313"/>
        <v>0</v>
      </c>
      <c r="GW319">
        <v>1</v>
      </c>
      <c r="GX319">
        <f t="shared" si="314"/>
        <v>0</v>
      </c>
      <c r="HA319">
        <v>0</v>
      </c>
      <c r="HB319">
        <v>0</v>
      </c>
      <c r="HC319">
        <f t="shared" si="315"/>
        <v>0</v>
      </c>
      <c r="HE319" t="s">
        <v>3</v>
      </c>
      <c r="HF319" t="s">
        <v>3</v>
      </c>
      <c r="HM319" t="s">
        <v>3</v>
      </c>
      <c r="HN319" t="s">
        <v>3</v>
      </c>
      <c r="HO319" t="s">
        <v>3</v>
      </c>
      <c r="HP319" t="s">
        <v>3</v>
      </c>
      <c r="HQ319" t="s">
        <v>3</v>
      </c>
      <c r="IK319">
        <v>0</v>
      </c>
    </row>
    <row r="320" spans="1:245" x14ac:dyDescent="0.2">
      <c r="A320">
        <v>17</v>
      </c>
      <c r="B320">
        <v>1</v>
      </c>
      <c r="C320">
        <f>ROW(SmtRes!A331)</f>
        <v>331</v>
      </c>
      <c r="D320">
        <f>ROW(EtalonRes!A445)</f>
        <v>445</v>
      </c>
      <c r="E320" t="s">
        <v>598</v>
      </c>
      <c r="F320" t="s">
        <v>550</v>
      </c>
      <c r="G320" t="s">
        <v>551</v>
      </c>
      <c r="H320" t="s">
        <v>28</v>
      </c>
      <c r="I320">
        <f>ROUND(15/100,9)</f>
        <v>0.15</v>
      </c>
      <c r="J320">
        <v>0</v>
      </c>
      <c r="K320">
        <f>ROUND(15/100,9)</f>
        <v>0.15</v>
      </c>
      <c r="O320">
        <f t="shared" si="283"/>
        <v>20452.650000000001</v>
      </c>
      <c r="P320">
        <f t="shared" si="284"/>
        <v>0</v>
      </c>
      <c r="Q320">
        <f>(ROUND((ROUND(((ET320)*AV320*I320),2)*BB320),2)+ROUND((ROUND(((AE320-(EU320))*AV320*I320),2)*BS320),2))</f>
        <v>0</v>
      </c>
      <c r="R320">
        <f t="shared" si="285"/>
        <v>0</v>
      </c>
      <c r="S320">
        <f t="shared" si="286"/>
        <v>20452.650000000001</v>
      </c>
      <c r="T320">
        <f t="shared" si="287"/>
        <v>0</v>
      </c>
      <c r="U320">
        <f t="shared" si="288"/>
        <v>57.779999999999994</v>
      </c>
      <c r="V320">
        <f t="shared" si="289"/>
        <v>0</v>
      </c>
      <c r="W320">
        <f t="shared" si="290"/>
        <v>0</v>
      </c>
      <c r="X320">
        <f t="shared" si="291"/>
        <v>16975.7</v>
      </c>
      <c r="Y320">
        <f t="shared" si="292"/>
        <v>8385.59</v>
      </c>
      <c r="AA320">
        <v>53860087</v>
      </c>
      <c r="AB320">
        <f t="shared" si="293"/>
        <v>4529.95</v>
      </c>
      <c r="AC320">
        <f t="shared" si="294"/>
        <v>0</v>
      </c>
      <c r="AD320">
        <f>ROUND((((ET320)-(EU320))+AE320),6)</f>
        <v>0</v>
      </c>
      <c r="AE320">
        <f t="shared" si="318"/>
        <v>0</v>
      </c>
      <c r="AF320">
        <f t="shared" si="318"/>
        <v>4529.95</v>
      </c>
      <c r="AG320">
        <f t="shared" si="295"/>
        <v>0</v>
      </c>
      <c r="AH320">
        <f t="shared" si="319"/>
        <v>385.2</v>
      </c>
      <c r="AI320">
        <f t="shared" si="319"/>
        <v>0</v>
      </c>
      <c r="AJ320">
        <f t="shared" si="296"/>
        <v>0</v>
      </c>
      <c r="AK320">
        <v>4529.95</v>
      </c>
      <c r="AL320">
        <v>0</v>
      </c>
      <c r="AM320">
        <v>0</v>
      </c>
      <c r="AN320">
        <v>0</v>
      </c>
      <c r="AO320">
        <v>4529.95</v>
      </c>
      <c r="AP320">
        <v>0</v>
      </c>
      <c r="AQ320">
        <v>385.2</v>
      </c>
      <c r="AR320">
        <v>0</v>
      </c>
      <c r="AS320">
        <v>0</v>
      </c>
      <c r="AT320">
        <v>83</v>
      </c>
      <c r="AU320">
        <v>41</v>
      </c>
      <c r="AV320">
        <v>1</v>
      </c>
      <c r="AW320">
        <v>1</v>
      </c>
      <c r="AZ320">
        <v>1</v>
      </c>
      <c r="BA320">
        <v>30.1</v>
      </c>
      <c r="BB320">
        <v>1</v>
      </c>
      <c r="BC320">
        <v>1</v>
      </c>
      <c r="BD320" t="s">
        <v>3</v>
      </c>
      <c r="BE320" t="s">
        <v>3</v>
      </c>
      <c r="BF320" t="s">
        <v>3</v>
      </c>
      <c r="BG320" t="s">
        <v>3</v>
      </c>
      <c r="BH320">
        <v>0</v>
      </c>
      <c r="BI320">
        <v>1</v>
      </c>
      <c r="BJ320" t="s">
        <v>552</v>
      </c>
      <c r="BM320">
        <v>454</v>
      </c>
      <c r="BN320">
        <v>0</v>
      </c>
      <c r="BO320" t="s">
        <v>550</v>
      </c>
      <c r="BP320">
        <v>1</v>
      </c>
      <c r="BQ320">
        <v>60</v>
      </c>
      <c r="BR320">
        <v>0</v>
      </c>
      <c r="BS320">
        <v>30.1</v>
      </c>
      <c r="BT320">
        <v>1</v>
      </c>
      <c r="BU320">
        <v>1</v>
      </c>
      <c r="BV320">
        <v>1</v>
      </c>
      <c r="BW320">
        <v>1</v>
      </c>
      <c r="BX320">
        <v>1</v>
      </c>
      <c r="BY320" t="s">
        <v>3</v>
      </c>
      <c r="BZ320">
        <v>83</v>
      </c>
      <c r="CA320">
        <v>41</v>
      </c>
      <c r="CB320" t="s">
        <v>3</v>
      </c>
      <c r="CE320">
        <v>30</v>
      </c>
      <c r="CF320">
        <v>0</v>
      </c>
      <c r="CG320">
        <v>0</v>
      </c>
      <c r="CM320">
        <v>0</v>
      </c>
      <c r="CN320" t="s">
        <v>3</v>
      </c>
      <c r="CO320">
        <v>0</v>
      </c>
      <c r="CP320">
        <f t="shared" si="297"/>
        <v>20452.650000000001</v>
      </c>
      <c r="CQ320">
        <f t="shared" si="298"/>
        <v>0</v>
      </c>
      <c r="CR320">
        <f>(ROUND((ROUND(((ET320)*AV320*1),2)*BB320),2)+ROUND((ROUND(((AE320-(EU320))*AV320*1),2)*BS320),2))</f>
        <v>0</v>
      </c>
      <c r="CS320">
        <f t="shared" si="299"/>
        <v>0</v>
      </c>
      <c r="CT320">
        <f t="shared" si="300"/>
        <v>136351.5</v>
      </c>
      <c r="CU320">
        <f t="shared" si="301"/>
        <v>0</v>
      </c>
      <c r="CV320">
        <f t="shared" si="302"/>
        <v>385.2</v>
      </c>
      <c r="CW320">
        <f t="shared" si="303"/>
        <v>0</v>
      </c>
      <c r="CX320">
        <f t="shared" si="304"/>
        <v>0</v>
      </c>
      <c r="CY320">
        <f t="shared" si="305"/>
        <v>16975.699499999999</v>
      </c>
      <c r="CZ320">
        <f t="shared" si="306"/>
        <v>8385.5864999999994</v>
      </c>
      <c r="DC320" t="s">
        <v>3</v>
      </c>
      <c r="DD320" t="s">
        <v>3</v>
      </c>
      <c r="DE320" t="s">
        <v>3</v>
      </c>
      <c r="DF320" t="s">
        <v>3</v>
      </c>
      <c r="DG320" t="s">
        <v>3</v>
      </c>
      <c r="DH320" t="s">
        <v>3</v>
      </c>
      <c r="DI320" t="s">
        <v>3</v>
      </c>
      <c r="DJ320" t="s">
        <v>3</v>
      </c>
      <c r="DK320" t="s">
        <v>3</v>
      </c>
      <c r="DL320" t="s">
        <v>3</v>
      </c>
      <c r="DM320" t="s">
        <v>3</v>
      </c>
      <c r="DN320">
        <v>100</v>
      </c>
      <c r="DO320">
        <v>64</v>
      </c>
      <c r="DP320">
        <v>1</v>
      </c>
      <c r="DQ320">
        <v>1</v>
      </c>
      <c r="DU320">
        <v>1005</v>
      </c>
      <c r="DV320" t="s">
        <v>28</v>
      </c>
      <c r="DW320" t="s">
        <v>28</v>
      </c>
      <c r="DX320">
        <v>100</v>
      </c>
      <c r="DZ320" t="s">
        <v>3</v>
      </c>
      <c r="EA320" t="s">
        <v>3</v>
      </c>
      <c r="EB320" t="s">
        <v>3</v>
      </c>
      <c r="EC320" t="s">
        <v>3</v>
      </c>
      <c r="EE320">
        <v>53213203</v>
      </c>
      <c r="EF320">
        <v>60</v>
      </c>
      <c r="EG320" t="s">
        <v>22</v>
      </c>
      <c r="EH320">
        <v>0</v>
      </c>
      <c r="EI320" t="s">
        <v>3</v>
      </c>
      <c r="EJ320">
        <v>1</v>
      </c>
      <c r="EK320">
        <v>454</v>
      </c>
      <c r="EL320" t="s">
        <v>553</v>
      </c>
      <c r="EM320" t="s">
        <v>554</v>
      </c>
      <c r="EO320" t="s">
        <v>3</v>
      </c>
      <c r="EQ320">
        <v>0</v>
      </c>
      <c r="ER320">
        <v>4529.95</v>
      </c>
      <c r="ES320">
        <v>0</v>
      </c>
      <c r="ET320">
        <v>0</v>
      </c>
      <c r="EU320">
        <v>0</v>
      </c>
      <c r="EV320">
        <v>4529.95</v>
      </c>
      <c r="EW320">
        <v>385.2</v>
      </c>
      <c r="EX320">
        <v>0</v>
      </c>
      <c r="EY320">
        <v>0</v>
      </c>
      <c r="FQ320">
        <v>0</v>
      </c>
      <c r="FR320">
        <f t="shared" si="307"/>
        <v>0</v>
      </c>
      <c r="FS320">
        <v>0</v>
      </c>
      <c r="FX320">
        <v>100</v>
      </c>
      <c r="FY320">
        <v>64</v>
      </c>
      <c r="GA320" t="s">
        <v>3</v>
      </c>
      <c r="GD320">
        <v>0</v>
      </c>
      <c r="GF320">
        <v>514641237</v>
      </c>
      <c r="GG320">
        <v>2</v>
      </c>
      <c r="GH320">
        <v>1</v>
      </c>
      <c r="GI320">
        <v>2</v>
      </c>
      <c r="GJ320">
        <v>0</v>
      </c>
      <c r="GK320">
        <f>ROUND(R320*(R12)/100,2)</f>
        <v>0</v>
      </c>
      <c r="GL320">
        <f t="shared" si="308"/>
        <v>0</v>
      </c>
      <c r="GM320">
        <f t="shared" si="309"/>
        <v>45813.94</v>
      </c>
      <c r="GN320">
        <f t="shared" si="310"/>
        <v>45813.94</v>
      </c>
      <c r="GO320">
        <f t="shared" si="311"/>
        <v>0</v>
      </c>
      <c r="GP320">
        <f t="shared" si="312"/>
        <v>0</v>
      </c>
      <c r="GR320">
        <v>0</v>
      </c>
      <c r="GS320">
        <v>3</v>
      </c>
      <c r="GT320">
        <v>0</v>
      </c>
      <c r="GU320" t="s">
        <v>3</v>
      </c>
      <c r="GV320">
        <f t="shared" si="313"/>
        <v>0</v>
      </c>
      <c r="GW320">
        <v>1</v>
      </c>
      <c r="GX320">
        <f t="shared" si="314"/>
        <v>0</v>
      </c>
      <c r="HA320">
        <v>0</v>
      </c>
      <c r="HB320">
        <v>0</v>
      </c>
      <c r="HC320">
        <f t="shared" si="315"/>
        <v>0</v>
      </c>
      <c r="HE320" t="s">
        <v>3</v>
      </c>
      <c r="HF320" t="s">
        <v>3</v>
      </c>
      <c r="HM320" t="s">
        <v>3</v>
      </c>
      <c r="HN320" t="s">
        <v>3</v>
      </c>
      <c r="HO320" t="s">
        <v>3</v>
      </c>
      <c r="HP320" t="s">
        <v>3</v>
      </c>
      <c r="HQ320" t="s">
        <v>3</v>
      </c>
      <c r="IK320">
        <v>0</v>
      </c>
    </row>
    <row r="321" spans="1:245" x14ac:dyDescent="0.2">
      <c r="A321">
        <v>18</v>
      </c>
      <c r="B321">
        <v>1</v>
      </c>
      <c r="C321">
        <v>330</v>
      </c>
      <c r="E321" t="s">
        <v>599</v>
      </c>
      <c r="F321" t="s">
        <v>78</v>
      </c>
      <c r="G321" t="s">
        <v>79</v>
      </c>
      <c r="H321" t="s">
        <v>70</v>
      </c>
      <c r="I321">
        <f>I320*J321</f>
        <v>0.66</v>
      </c>
      <c r="J321">
        <v>4.4000000000000004</v>
      </c>
      <c r="K321">
        <v>4.4000000000000004</v>
      </c>
      <c r="O321">
        <f t="shared" si="283"/>
        <v>2997.99</v>
      </c>
      <c r="P321">
        <f t="shared" si="284"/>
        <v>2997.99</v>
      </c>
      <c r="Q321">
        <f>(ROUND((ROUND(((ET321)*AV321*I321),2)*BB321),2)+ROUND((ROUND(((AE321-(EU321))*AV321*I321),2)*BS321),2))</f>
        <v>0</v>
      </c>
      <c r="R321">
        <f t="shared" si="285"/>
        <v>0</v>
      </c>
      <c r="S321">
        <f t="shared" si="286"/>
        <v>0</v>
      </c>
      <c r="T321">
        <f t="shared" si="287"/>
        <v>0</v>
      </c>
      <c r="U321">
        <f t="shared" si="288"/>
        <v>0</v>
      </c>
      <c r="V321">
        <f t="shared" si="289"/>
        <v>0</v>
      </c>
      <c r="W321">
        <f t="shared" si="290"/>
        <v>0</v>
      </c>
      <c r="X321">
        <f t="shared" si="291"/>
        <v>0</v>
      </c>
      <c r="Y321">
        <f t="shared" si="292"/>
        <v>0</v>
      </c>
      <c r="AA321">
        <v>53860087</v>
      </c>
      <c r="AB321">
        <f t="shared" si="293"/>
        <v>481.69</v>
      </c>
      <c r="AC321">
        <f t="shared" si="294"/>
        <v>481.69</v>
      </c>
      <c r="AD321">
        <f>ROUND((((ET321)-(EU321))+AE321),6)</f>
        <v>0</v>
      </c>
      <c r="AE321">
        <f t="shared" si="318"/>
        <v>0</v>
      </c>
      <c r="AF321">
        <f t="shared" si="318"/>
        <v>0</v>
      </c>
      <c r="AG321">
        <f t="shared" si="295"/>
        <v>0</v>
      </c>
      <c r="AH321">
        <f t="shared" si="319"/>
        <v>0</v>
      </c>
      <c r="AI321">
        <f t="shared" si="319"/>
        <v>0</v>
      </c>
      <c r="AJ321">
        <f t="shared" si="296"/>
        <v>0</v>
      </c>
      <c r="AK321">
        <v>481.69</v>
      </c>
      <c r="AL321">
        <v>481.69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1</v>
      </c>
      <c r="AW321">
        <v>1</v>
      </c>
      <c r="AZ321">
        <v>1</v>
      </c>
      <c r="BA321">
        <v>1</v>
      </c>
      <c r="BB321">
        <v>1</v>
      </c>
      <c r="BC321">
        <v>9.43</v>
      </c>
      <c r="BD321" t="s">
        <v>3</v>
      </c>
      <c r="BE321" t="s">
        <v>3</v>
      </c>
      <c r="BF321" t="s">
        <v>3</v>
      </c>
      <c r="BG321" t="s">
        <v>3</v>
      </c>
      <c r="BH321">
        <v>3</v>
      </c>
      <c r="BI321">
        <v>1</v>
      </c>
      <c r="BJ321" t="s">
        <v>80</v>
      </c>
      <c r="BM321">
        <v>454</v>
      </c>
      <c r="BN321">
        <v>0</v>
      </c>
      <c r="BO321" t="s">
        <v>78</v>
      </c>
      <c r="BP321">
        <v>1</v>
      </c>
      <c r="BQ321">
        <v>60</v>
      </c>
      <c r="BR321">
        <v>0</v>
      </c>
      <c r="BS321">
        <v>1</v>
      </c>
      <c r="BT321">
        <v>1</v>
      </c>
      <c r="BU321">
        <v>1</v>
      </c>
      <c r="BV321">
        <v>1</v>
      </c>
      <c r="BW321">
        <v>1</v>
      </c>
      <c r="BX321">
        <v>1</v>
      </c>
      <c r="BY321" t="s">
        <v>3</v>
      </c>
      <c r="BZ321">
        <v>0</v>
      </c>
      <c r="CA321">
        <v>0</v>
      </c>
      <c r="CB321" t="s">
        <v>3</v>
      </c>
      <c r="CE321">
        <v>30</v>
      </c>
      <c r="CF321">
        <v>0</v>
      </c>
      <c r="CG321">
        <v>0</v>
      </c>
      <c r="CM321">
        <v>0</v>
      </c>
      <c r="CN321" t="s">
        <v>3</v>
      </c>
      <c r="CO321">
        <v>0</v>
      </c>
      <c r="CP321">
        <f t="shared" si="297"/>
        <v>2997.99</v>
      </c>
      <c r="CQ321">
        <f t="shared" si="298"/>
        <v>4542.34</v>
      </c>
      <c r="CR321">
        <f>(ROUND((ROUND(((ET321)*AV321*1),2)*BB321),2)+ROUND((ROUND(((AE321-(EU321))*AV321*1),2)*BS321),2))</f>
        <v>0</v>
      </c>
      <c r="CS321">
        <f t="shared" si="299"/>
        <v>0</v>
      </c>
      <c r="CT321">
        <f t="shared" si="300"/>
        <v>0</v>
      </c>
      <c r="CU321">
        <f t="shared" si="301"/>
        <v>0</v>
      </c>
      <c r="CV321">
        <f t="shared" si="302"/>
        <v>0</v>
      </c>
      <c r="CW321">
        <f t="shared" si="303"/>
        <v>0</v>
      </c>
      <c r="CX321">
        <f t="shared" si="304"/>
        <v>0</v>
      </c>
      <c r="CY321">
        <f t="shared" si="305"/>
        <v>0</v>
      </c>
      <c r="CZ321">
        <f t="shared" si="306"/>
        <v>0</v>
      </c>
      <c r="DC321" t="s">
        <v>3</v>
      </c>
      <c r="DD321" t="s">
        <v>3</v>
      </c>
      <c r="DE321" t="s">
        <v>3</v>
      </c>
      <c r="DF321" t="s">
        <v>3</v>
      </c>
      <c r="DG321" t="s">
        <v>3</v>
      </c>
      <c r="DH321" t="s">
        <v>3</v>
      </c>
      <c r="DI321" t="s">
        <v>3</v>
      </c>
      <c r="DJ321" t="s">
        <v>3</v>
      </c>
      <c r="DK321" t="s">
        <v>3</v>
      </c>
      <c r="DL321" t="s">
        <v>3</v>
      </c>
      <c r="DM321" t="s">
        <v>3</v>
      </c>
      <c r="DN321">
        <v>100</v>
      </c>
      <c r="DO321">
        <v>64</v>
      </c>
      <c r="DP321">
        <v>1</v>
      </c>
      <c r="DQ321">
        <v>1</v>
      </c>
      <c r="DU321">
        <v>1007</v>
      </c>
      <c r="DV321" t="s">
        <v>70</v>
      </c>
      <c r="DW321" t="s">
        <v>70</v>
      </c>
      <c r="DX321">
        <v>1</v>
      </c>
      <c r="DZ321" t="s">
        <v>3</v>
      </c>
      <c r="EA321" t="s">
        <v>3</v>
      </c>
      <c r="EB321" t="s">
        <v>3</v>
      </c>
      <c r="EC321" t="s">
        <v>3</v>
      </c>
      <c r="EE321">
        <v>53213203</v>
      </c>
      <c r="EF321">
        <v>60</v>
      </c>
      <c r="EG321" t="s">
        <v>22</v>
      </c>
      <c r="EH321">
        <v>0</v>
      </c>
      <c r="EI321" t="s">
        <v>3</v>
      </c>
      <c r="EJ321">
        <v>1</v>
      </c>
      <c r="EK321">
        <v>454</v>
      </c>
      <c r="EL321" t="s">
        <v>553</v>
      </c>
      <c r="EM321" t="s">
        <v>554</v>
      </c>
      <c r="EO321" t="s">
        <v>3</v>
      </c>
      <c r="EQ321">
        <v>0</v>
      </c>
      <c r="ER321">
        <v>481.69</v>
      </c>
      <c r="ES321">
        <v>481.69</v>
      </c>
      <c r="ET321">
        <v>0</v>
      </c>
      <c r="EU321">
        <v>0</v>
      </c>
      <c r="EV321">
        <v>0</v>
      </c>
      <c r="EW321">
        <v>0</v>
      </c>
      <c r="EX321">
        <v>0</v>
      </c>
      <c r="FQ321">
        <v>0</v>
      </c>
      <c r="FR321">
        <f t="shared" si="307"/>
        <v>0</v>
      </c>
      <c r="FS321">
        <v>0</v>
      </c>
      <c r="FX321">
        <v>100</v>
      </c>
      <c r="FY321">
        <v>64</v>
      </c>
      <c r="GA321" t="s">
        <v>3</v>
      </c>
      <c r="GD321">
        <v>0</v>
      </c>
      <c r="GF321">
        <v>847230343</v>
      </c>
      <c r="GG321">
        <v>2</v>
      </c>
      <c r="GH321">
        <v>1</v>
      </c>
      <c r="GI321">
        <v>2</v>
      </c>
      <c r="GJ321">
        <v>0</v>
      </c>
      <c r="GK321">
        <f>ROUND(R321*(R12)/100,2)</f>
        <v>0</v>
      </c>
      <c r="GL321">
        <f t="shared" si="308"/>
        <v>0</v>
      </c>
      <c r="GM321">
        <f t="shared" si="309"/>
        <v>2997.99</v>
      </c>
      <c r="GN321">
        <f t="shared" si="310"/>
        <v>2997.99</v>
      </c>
      <c r="GO321">
        <f t="shared" si="311"/>
        <v>0</v>
      </c>
      <c r="GP321">
        <f t="shared" si="312"/>
        <v>0</v>
      </c>
      <c r="GR321">
        <v>0</v>
      </c>
      <c r="GS321">
        <v>3</v>
      </c>
      <c r="GT321">
        <v>0</v>
      </c>
      <c r="GU321" t="s">
        <v>3</v>
      </c>
      <c r="GV321">
        <f t="shared" si="313"/>
        <v>0</v>
      </c>
      <c r="GW321">
        <v>1</v>
      </c>
      <c r="GX321">
        <f t="shared" si="314"/>
        <v>0</v>
      </c>
      <c r="HA321">
        <v>0</v>
      </c>
      <c r="HB321">
        <v>0</v>
      </c>
      <c r="HC321">
        <f t="shared" si="315"/>
        <v>0</v>
      </c>
      <c r="HE321" t="s">
        <v>3</v>
      </c>
      <c r="HF321" t="s">
        <v>3</v>
      </c>
      <c r="HM321" t="s">
        <v>3</v>
      </c>
      <c r="HN321" t="s">
        <v>3</v>
      </c>
      <c r="HO321" t="s">
        <v>3</v>
      </c>
      <c r="HP321" t="s">
        <v>3</v>
      </c>
      <c r="HQ321" t="s">
        <v>3</v>
      </c>
      <c r="IK321">
        <v>0</v>
      </c>
    </row>
    <row r="322" spans="1:245" x14ac:dyDescent="0.2">
      <c r="A322">
        <v>17</v>
      </c>
      <c r="B322">
        <v>1</v>
      </c>
      <c r="C322">
        <f>ROW(SmtRes!A338)</f>
        <v>338</v>
      </c>
      <c r="D322">
        <f>ROW(EtalonRes!A452)</f>
        <v>452</v>
      </c>
      <c r="E322" t="s">
        <v>600</v>
      </c>
      <c r="F322" t="s">
        <v>292</v>
      </c>
      <c r="G322" t="s">
        <v>293</v>
      </c>
      <c r="H322" t="s">
        <v>28</v>
      </c>
      <c r="I322">
        <f>ROUND(15/100,9)</f>
        <v>0.15</v>
      </c>
      <c r="J322">
        <v>0</v>
      </c>
      <c r="K322">
        <f>ROUND(15/100,9)</f>
        <v>0.15</v>
      </c>
      <c r="O322">
        <f t="shared" si="283"/>
        <v>2982.37</v>
      </c>
      <c r="P322">
        <f t="shared" si="284"/>
        <v>359.76</v>
      </c>
      <c r="Q322">
        <f>(ROUND((ROUND((((ET322*1.25))*AV322*I322),2)*BB322),2)+ROUND((ROUND(((AE322-((EU322*1.25)))*AV322*I322),2)*BS322),2))</f>
        <v>28.29</v>
      </c>
      <c r="R322">
        <f t="shared" si="285"/>
        <v>10.54</v>
      </c>
      <c r="S322">
        <f t="shared" si="286"/>
        <v>2594.3200000000002</v>
      </c>
      <c r="T322">
        <f t="shared" si="287"/>
        <v>0</v>
      </c>
      <c r="U322">
        <f t="shared" si="288"/>
        <v>7.5141</v>
      </c>
      <c r="V322">
        <f t="shared" si="289"/>
        <v>0</v>
      </c>
      <c r="W322">
        <f t="shared" si="290"/>
        <v>0</v>
      </c>
      <c r="X322">
        <f t="shared" si="291"/>
        <v>2153.29</v>
      </c>
      <c r="Y322">
        <f t="shared" si="292"/>
        <v>1063.67</v>
      </c>
      <c r="AA322">
        <v>53860087</v>
      </c>
      <c r="AB322">
        <f t="shared" si="293"/>
        <v>1389.652</v>
      </c>
      <c r="AC322">
        <f t="shared" si="294"/>
        <v>799.49</v>
      </c>
      <c r="AD322">
        <f>ROUND(((((ET322*1.25))-((EU322*1.25)))+AE322),6)</f>
        <v>15.5875</v>
      </c>
      <c r="AE322">
        <f>ROUND(((EU322*1.25)),6)</f>
        <v>2.3624999999999998</v>
      </c>
      <c r="AF322">
        <f>ROUND(((EV322*1.15)),6)</f>
        <v>574.57449999999994</v>
      </c>
      <c r="AG322">
        <f t="shared" si="295"/>
        <v>0</v>
      </c>
      <c r="AH322">
        <f>((EW322*1.15))</f>
        <v>50.094000000000001</v>
      </c>
      <c r="AI322">
        <f>((EX322*1.25))</f>
        <v>0</v>
      </c>
      <c r="AJ322">
        <f t="shared" si="296"/>
        <v>0</v>
      </c>
      <c r="AK322">
        <v>1311.59</v>
      </c>
      <c r="AL322">
        <v>799.49</v>
      </c>
      <c r="AM322">
        <v>12.47</v>
      </c>
      <c r="AN322">
        <v>1.89</v>
      </c>
      <c r="AO322">
        <v>499.63</v>
      </c>
      <c r="AP322">
        <v>0</v>
      </c>
      <c r="AQ322">
        <v>43.56</v>
      </c>
      <c r="AR322">
        <v>0</v>
      </c>
      <c r="AS322">
        <v>0</v>
      </c>
      <c r="AT322">
        <v>83</v>
      </c>
      <c r="AU322">
        <v>41</v>
      </c>
      <c r="AV322">
        <v>1</v>
      </c>
      <c r="AW322">
        <v>1</v>
      </c>
      <c r="AZ322">
        <v>1</v>
      </c>
      <c r="BA322">
        <v>30.1</v>
      </c>
      <c r="BB322">
        <v>12.09</v>
      </c>
      <c r="BC322">
        <v>3</v>
      </c>
      <c r="BD322" t="s">
        <v>3</v>
      </c>
      <c r="BE322" t="s">
        <v>3</v>
      </c>
      <c r="BF322" t="s">
        <v>3</v>
      </c>
      <c r="BG322" t="s">
        <v>3</v>
      </c>
      <c r="BH322">
        <v>0</v>
      </c>
      <c r="BI322">
        <v>1</v>
      </c>
      <c r="BJ322" t="s">
        <v>294</v>
      </c>
      <c r="BM322">
        <v>2087</v>
      </c>
      <c r="BN322">
        <v>0</v>
      </c>
      <c r="BO322" t="s">
        <v>292</v>
      </c>
      <c r="BP322">
        <v>1</v>
      </c>
      <c r="BQ322">
        <v>30</v>
      </c>
      <c r="BR322">
        <v>0</v>
      </c>
      <c r="BS322">
        <v>30.1</v>
      </c>
      <c r="BT322">
        <v>1</v>
      </c>
      <c r="BU322">
        <v>1</v>
      </c>
      <c r="BV322">
        <v>1</v>
      </c>
      <c r="BW322">
        <v>1</v>
      </c>
      <c r="BX322">
        <v>1</v>
      </c>
      <c r="BY322" t="s">
        <v>3</v>
      </c>
      <c r="BZ322">
        <v>83</v>
      </c>
      <c r="CA322">
        <v>41</v>
      </c>
      <c r="CB322" t="s">
        <v>3</v>
      </c>
      <c r="CE322">
        <v>30</v>
      </c>
      <c r="CF322">
        <v>0</v>
      </c>
      <c r="CG322">
        <v>0</v>
      </c>
      <c r="CM322">
        <v>0</v>
      </c>
      <c r="CN322" t="s">
        <v>3</v>
      </c>
      <c r="CO322">
        <v>0</v>
      </c>
      <c r="CP322">
        <f t="shared" si="297"/>
        <v>2982.3700000000003</v>
      </c>
      <c r="CQ322">
        <f t="shared" si="298"/>
        <v>2398.4699999999998</v>
      </c>
      <c r="CR322">
        <f>(ROUND((ROUND((((ET322*1.25))*AV322*1),2)*BB322),2)+ROUND((ROUND(((AE322-((EU322*1.25)))*AV322*1),2)*BS322),2))</f>
        <v>188.48</v>
      </c>
      <c r="CS322">
        <f t="shared" si="299"/>
        <v>71.040000000000006</v>
      </c>
      <c r="CT322">
        <f t="shared" si="300"/>
        <v>17294.560000000001</v>
      </c>
      <c r="CU322">
        <f t="shared" si="301"/>
        <v>0</v>
      </c>
      <c r="CV322">
        <f t="shared" si="302"/>
        <v>50.094000000000001</v>
      </c>
      <c r="CW322">
        <f t="shared" si="303"/>
        <v>0</v>
      </c>
      <c r="CX322">
        <f t="shared" si="304"/>
        <v>0</v>
      </c>
      <c r="CY322">
        <f t="shared" si="305"/>
        <v>2153.2856000000002</v>
      </c>
      <c r="CZ322">
        <f t="shared" si="306"/>
        <v>1063.6712</v>
      </c>
      <c r="DC322" t="s">
        <v>3</v>
      </c>
      <c r="DD322" t="s">
        <v>3</v>
      </c>
      <c r="DE322" t="s">
        <v>51</v>
      </c>
      <c r="DF322" t="s">
        <v>51</v>
      </c>
      <c r="DG322" t="s">
        <v>52</v>
      </c>
      <c r="DH322" t="s">
        <v>3</v>
      </c>
      <c r="DI322" t="s">
        <v>52</v>
      </c>
      <c r="DJ322" t="s">
        <v>51</v>
      </c>
      <c r="DK322" t="s">
        <v>3</v>
      </c>
      <c r="DL322" t="s">
        <v>3</v>
      </c>
      <c r="DM322" t="s">
        <v>3</v>
      </c>
      <c r="DN322">
        <v>100</v>
      </c>
      <c r="DO322">
        <v>64</v>
      </c>
      <c r="DP322">
        <v>1</v>
      </c>
      <c r="DQ322">
        <v>1</v>
      </c>
      <c r="DU322">
        <v>1005</v>
      </c>
      <c r="DV322" t="s">
        <v>28</v>
      </c>
      <c r="DW322" t="s">
        <v>28</v>
      </c>
      <c r="DX322">
        <v>100</v>
      </c>
      <c r="DZ322" t="s">
        <v>3</v>
      </c>
      <c r="EA322" t="s">
        <v>3</v>
      </c>
      <c r="EB322" t="s">
        <v>3</v>
      </c>
      <c r="EC322" t="s">
        <v>3</v>
      </c>
      <c r="EE322">
        <v>53214868</v>
      </c>
      <c r="EF322">
        <v>30</v>
      </c>
      <c r="EG322" t="s">
        <v>37</v>
      </c>
      <c r="EH322">
        <v>0</v>
      </c>
      <c r="EI322" t="s">
        <v>3</v>
      </c>
      <c r="EJ322">
        <v>1</v>
      </c>
      <c r="EK322">
        <v>2087</v>
      </c>
      <c r="EL322" t="s">
        <v>146</v>
      </c>
      <c r="EM322" t="s">
        <v>147</v>
      </c>
      <c r="EO322" t="s">
        <v>3</v>
      </c>
      <c r="EQ322">
        <v>0</v>
      </c>
      <c r="ER322">
        <v>1311.59</v>
      </c>
      <c r="ES322">
        <v>799.49</v>
      </c>
      <c r="ET322">
        <v>12.47</v>
      </c>
      <c r="EU322">
        <v>1.89</v>
      </c>
      <c r="EV322">
        <v>499.63</v>
      </c>
      <c r="EW322">
        <v>43.56</v>
      </c>
      <c r="EX322">
        <v>0</v>
      </c>
      <c r="EY322">
        <v>0</v>
      </c>
      <c r="FQ322">
        <v>0</v>
      </c>
      <c r="FR322">
        <f t="shared" si="307"/>
        <v>0</v>
      </c>
      <c r="FS322">
        <v>0</v>
      </c>
      <c r="FX322">
        <v>100</v>
      </c>
      <c r="FY322">
        <v>64</v>
      </c>
      <c r="GA322" t="s">
        <v>3</v>
      </c>
      <c r="GD322">
        <v>0</v>
      </c>
      <c r="GF322">
        <v>-1404964615</v>
      </c>
      <c r="GG322">
        <v>2</v>
      </c>
      <c r="GH322">
        <v>1</v>
      </c>
      <c r="GI322">
        <v>2</v>
      </c>
      <c r="GJ322">
        <v>0</v>
      </c>
      <c r="GK322">
        <f>ROUND(R322*(R12)/100,2)</f>
        <v>16.86</v>
      </c>
      <c r="GL322">
        <f t="shared" si="308"/>
        <v>0</v>
      </c>
      <c r="GM322">
        <f t="shared" si="309"/>
        <v>6216.19</v>
      </c>
      <c r="GN322">
        <f t="shared" si="310"/>
        <v>6216.19</v>
      </c>
      <c r="GO322">
        <f t="shared" si="311"/>
        <v>0</v>
      </c>
      <c r="GP322">
        <f t="shared" si="312"/>
        <v>0</v>
      </c>
      <c r="GR322">
        <v>0</v>
      </c>
      <c r="GS322">
        <v>3</v>
      </c>
      <c r="GT322">
        <v>0</v>
      </c>
      <c r="GU322" t="s">
        <v>3</v>
      </c>
      <c r="GV322">
        <f t="shared" si="313"/>
        <v>0</v>
      </c>
      <c r="GW322">
        <v>1</v>
      </c>
      <c r="GX322">
        <f t="shared" si="314"/>
        <v>0</v>
      </c>
      <c r="HA322">
        <v>0</v>
      </c>
      <c r="HB322">
        <v>0</v>
      </c>
      <c r="HC322">
        <f t="shared" si="315"/>
        <v>0</v>
      </c>
      <c r="HE322" t="s">
        <v>3</v>
      </c>
      <c r="HF322" t="s">
        <v>3</v>
      </c>
      <c r="HM322" t="s">
        <v>3</v>
      </c>
      <c r="HN322" t="s">
        <v>3</v>
      </c>
      <c r="HO322" t="s">
        <v>3</v>
      </c>
      <c r="HP322" t="s">
        <v>3</v>
      </c>
      <c r="HQ322" t="s">
        <v>3</v>
      </c>
      <c r="IK322">
        <v>0</v>
      </c>
    </row>
    <row r="323" spans="1:245" x14ac:dyDescent="0.2">
      <c r="A323">
        <v>18</v>
      </c>
      <c r="B323">
        <v>1</v>
      </c>
      <c r="C323">
        <v>337</v>
      </c>
      <c r="E323" t="s">
        <v>601</v>
      </c>
      <c r="F323" t="s">
        <v>602</v>
      </c>
      <c r="G323" t="s">
        <v>603</v>
      </c>
      <c r="H323" t="s">
        <v>154</v>
      </c>
      <c r="I323">
        <f>I322*J323</f>
        <v>2.2999999999999998</v>
      </c>
      <c r="J323">
        <v>15.333333333333332</v>
      </c>
      <c r="K323">
        <v>15.333333</v>
      </c>
      <c r="O323">
        <f t="shared" si="283"/>
        <v>254.07</v>
      </c>
      <c r="P323">
        <f t="shared" si="284"/>
        <v>254.07</v>
      </c>
      <c r="Q323">
        <f>(ROUND((ROUND(((ET323)*AV323*I323),2)*BB323),2)+ROUND((ROUND(((AE323-(EU323))*AV323*I323),2)*BS323),2))</f>
        <v>0</v>
      </c>
      <c r="R323">
        <f t="shared" si="285"/>
        <v>0</v>
      </c>
      <c r="S323">
        <f t="shared" si="286"/>
        <v>0</v>
      </c>
      <c r="T323">
        <f t="shared" si="287"/>
        <v>0</v>
      </c>
      <c r="U323">
        <f t="shared" si="288"/>
        <v>0</v>
      </c>
      <c r="V323">
        <f t="shared" si="289"/>
        <v>0</v>
      </c>
      <c r="W323">
        <f t="shared" si="290"/>
        <v>0</v>
      </c>
      <c r="X323">
        <f t="shared" si="291"/>
        <v>0</v>
      </c>
      <c r="Y323">
        <f t="shared" si="292"/>
        <v>0</v>
      </c>
      <c r="AA323">
        <v>53860087</v>
      </c>
      <c r="AB323">
        <f t="shared" si="293"/>
        <v>40.17</v>
      </c>
      <c r="AC323">
        <f t="shared" si="294"/>
        <v>40.17</v>
      </c>
      <c r="AD323">
        <f>ROUND((((ET323)-(EU323))+AE323),6)</f>
        <v>0</v>
      </c>
      <c r="AE323">
        <f>ROUND((EU323),6)</f>
        <v>0</v>
      </c>
      <c r="AF323">
        <f>ROUND((EV323),6)</f>
        <v>0</v>
      </c>
      <c r="AG323">
        <f t="shared" si="295"/>
        <v>0</v>
      </c>
      <c r="AH323">
        <f>(EW323)</f>
        <v>0</v>
      </c>
      <c r="AI323">
        <f>(EX323)</f>
        <v>0</v>
      </c>
      <c r="AJ323">
        <f t="shared" si="296"/>
        <v>0</v>
      </c>
      <c r="AK323">
        <v>40.17</v>
      </c>
      <c r="AL323">
        <v>40.17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1</v>
      </c>
      <c r="AW323">
        <v>1</v>
      </c>
      <c r="AZ323">
        <v>1</v>
      </c>
      <c r="BA323">
        <v>1</v>
      </c>
      <c r="BB323">
        <v>1</v>
      </c>
      <c r="BC323">
        <v>2.75</v>
      </c>
      <c r="BD323" t="s">
        <v>3</v>
      </c>
      <c r="BE323" t="s">
        <v>3</v>
      </c>
      <c r="BF323" t="s">
        <v>3</v>
      </c>
      <c r="BG323" t="s">
        <v>3</v>
      </c>
      <c r="BH323">
        <v>3</v>
      </c>
      <c r="BI323">
        <v>1</v>
      </c>
      <c r="BJ323" t="s">
        <v>604</v>
      </c>
      <c r="BM323">
        <v>2087</v>
      </c>
      <c r="BN323">
        <v>0</v>
      </c>
      <c r="BO323" t="s">
        <v>602</v>
      </c>
      <c r="BP323">
        <v>1</v>
      </c>
      <c r="BQ323">
        <v>30</v>
      </c>
      <c r="BR323">
        <v>0</v>
      </c>
      <c r="BS323">
        <v>1</v>
      </c>
      <c r="BT323">
        <v>1</v>
      </c>
      <c r="BU323">
        <v>1</v>
      </c>
      <c r="BV323">
        <v>1</v>
      </c>
      <c r="BW323">
        <v>1</v>
      </c>
      <c r="BX323">
        <v>1</v>
      </c>
      <c r="BY323" t="s">
        <v>3</v>
      </c>
      <c r="BZ323">
        <v>0</v>
      </c>
      <c r="CA323">
        <v>0</v>
      </c>
      <c r="CB323" t="s">
        <v>3</v>
      </c>
      <c r="CE323">
        <v>30</v>
      </c>
      <c r="CF323">
        <v>0</v>
      </c>
      <c r="CG323">
        <v>0</v>
      </c>
      <c r="CM323">
        <v>0</v>
      </c>
      <c r="CN323" t="s">
        <v>3</v>
      </c>
      <c r="CO323">
        <v>0</v>
      </c>
      <c r="CP323">
        <f t="shared" si="297"/>
        <v>254.07</v>
      </c>
      <c r="CQ323">
        <f t="shared" si="298"/>
        <v>110.47</v>
      </c>
      <c r="CR323">
        <f>(ROUND((ROUND(((ET323)*AV323*1),2)*BB323),2)+ROUND((ROUND(((AE323-(EU323))*AV323*1),2)*BS323),2))</f>
        <v>0</v>
      </c>
      <c r="CS323">
        <f t="shared" si="299"/>
        <v>0</v>
      </c>
      <c r="CT323">
        <f t="shared" si="300"/>
        <v>0</v>
      </c>
      <c r="CU323">
        <f t="shared" si="301"/>
        <v>0</v>
      </c>
      <c r="CV323">
        <f t="shared" si="302"/>
        <v>0</v>
      </c>
      <c r="CW323">
        <f t="shared" si="303"/>
        <v>0</v>
      </c>
      <c r="CX323">
        <f t="shared" si="304"/>
        <v>0</v>
      </c>
      <c r="CY323">
        <f t="shared" si="305"/>
        <v>0</v>
      </c>
      <c r="CZ323">
        <f t="shared" si="306"/>
        <v>0</v>
      </c>
      <c r="DC323" t="s">
        <v>3</v>
      </c>
      <c r="DD323" t="s">
        <v>3</v>
      </c>
      <c r="DE323" t="s">
        <v>3</v>
      </c>
      <c r="DF323" t="s">
        <v>3</v>
      </c>
      <c r="DG323" t="s">
        <v>3</v>
      </c>
      <c r="DH323" t="s">
        <v>3</v>
      </c>
      <c r="DI323" t="s">
        <v>3</v>
      </c>
      <c r="DJ323" t="s">
        <v>3</v>
      </c>
      <c r="DK323" t="s">
        <v>3</v>
      </c>
      <c r="DL323" t="s">
        <v>3</v>
      </c>
      <c r="DM323" t="s">
        <v>3</v>
      </c>
      <c r="DN323">
        <v>100</v>
      </c>
      <c r="DO323">
        <v>64</v>
      </c>
      <c r="DP323">
        <v>1</v>
      </c>
      <c r="DQ323">
        <v>1</v>
      </c>
      <c r="DU323">
        <v>1002</v>
      </c>
      <c r="DV323" t="s">
        <v>154</v>
      </c>
      <c r="DW323" t="s">
        <v>154</v>
      </c>
      <c r="DX323">
        <v>1</v>
      </c>
      <c r="DZ323" t="s">
        <v>3</v>
      </c>
      <c r="EA323" t="s">
        <v>3</v>
      </c>
      <c r="EB323" t="s">
        <v>3</v>
      </c>
      <c r="EC323" t="s">
        <v>3</v>
      </c>
      <c r="EE323">
        <v>53214868</v>
      </c>
      <c r="EF323">
        <v>30</v>
      </c>
      <c r="EG323" t="s">
        <v>37</v>
      </c>
      <c r="EH323">
        <v>0</v>
      </c>
      <c r="EI323" t="s">
        <v>3</v>
      </c>
      <c r="EJ323">
        <v>1</v>
      </c>
      <c r="EK323">
        <v>2087</v>
      </c>
      <c r="EL323" t="s">
        <v>146</v>
      </c>
      <c r="EM323" t="s">
        <v>147</v>
      </c>
      <c r="EO323" t="s">
        <v>3</v>
      </c>
      <c r="EQ323">
        <v>0</v>
      </c>
      <c r="ER323">
        <v>40.17</v>
      </c>
      <c r="ES323">
        <v>40.17</v>
      </c>
      <c r="ET323">
        <v>0</v>
      </c>
      <c r="EU323">
        <v>0</v>
      </c>
      <c r="EV323">
        <v>0</v>
      </c>
      <c r="EW323">
        <v>0</v>
      </c>
      <c r="EX323">
        <v>0</v>
      </c>
      <c r="FQ323">
        <v>0</v>
      </c>
      <c r="FR323">
        <f t="shared" si="307"/>
        <v>0</v>
      </c>
      <c r="FS323">
        <v>0</v>
      </c>
      <c r="FX323">
        <v>100</v>
      </c>
      <c r="FY323">
        <v>64</v>
      </c>
      <c r="GA323" t="s">
        <v>3</v>
      </c>
      <c r="GD323">
        <v>0</v>
      </c>
      <c r="GF323">
        <v>-1353905028</v>
      </c>
      <c r="GG323">
        <v>2</v>
      </c>
      <c r="GH323">
        <v>1</v>
      </c>
      <c r="GI323">
        <v>2</v>
      </c>
      <c r="GJ323">
        <v>0</v>
      </c>
      <c r="GK323">
        <f>ROUND(R323*(R12)/100,2)</f>
        <v>0</v>
      </c>
      <c r="GL323">
        <f t="shared" si="308"/>
        <v>0</v>
      </c>
      <c r="GM323">
        <f t="shared" si="309"/>
        <v>254.07</v>
      </c>
      <c r="GN323">
        <f t="shared" si="310"/>
        <v>254.07</v>
      </c>
      <c r="GO323">
        <f t="shared" si="311"/>
        <v>0</v>
      </c>
      <c r="GP323">
        <f t="shared" si="312"/>
        <v>0</v>
      </c>
      <c r="GR323">
        <v>0</v>
      </c>
      <c r="GS323">
        <v>3</v>
      </c>
      <c r="GT323">
        <v>0</v>
      </c>
      <c r="GU323" t="s">
        <v>3</v>
      </c>
      <c r="GV323">
        <f t="shared" si="313"/>
        <v>0</v>
      </c>
      <c r="GW323">
        <v>1</v>
      </c>
      <c r="GX323">
        <f t="shared" si="314"/>
        <v>0</v>
      </c>
      <c r="HA323">
        <v>0</v>
      </c>
      <c r="HB323">
        <v>0</v>
      </c>
      <c r="HC323">
        <f t="shared" si="315"/>
        <v>0</v>
      </c>
      <c r="HE323" t="s">
        <v>3</v>
      </c>
      <c r="HF323" t="s">
        <v>3</v>
      </c>
      <c r="HM323" t="s">
        <v>3</v>
      </c>
      <c r="HN323" t="s">
        <v>3</v>
      </c>
      <c r="HO323" t="s">
        <v>3</v>
      </c>
      <c r="HP323" t="s">
        <v>3</v>
      </c>
      <c r="HQ323" t="s">
        <v>3</v>
      </c>
      <c r="IK323">
        <v>0</v>
      </c>
    </row>
    <row r="324" spans="1:245" x14ac:dyDescent="0.2">
      <c r="A324">
        <v>18</v>
      </c>
      <c r="B324">
        <v>1</v>
      </c>
      <c r="C324">
        <v>338</v>
      </c>
      <c r="E324" t="s">
        <v>605</v>
      </c>
      <c r="F324" t="s">
        <v>89</v>
      </c>
      <c r="G324" t="s">
        <v>976</v>
      </c>
      <c r="H324" t="s">
        <v>58</v>
      </c>
      <c r="I324">
        <f>I322*J324</f>
        <v>4.5</v>
      </c>
      <c r="J324">
        <v>30</v>
      </c>
      <c r="K324">
        <v>30</v>
      </c>
      <c r="O324">
        <f t="shared" si="283"/>
        <v>2309</v>
      </c>
      <c r="P324">
        <f t="shared" si="284"/>
        <v>2309</v>
      </c>
      <c r="Q324">
        <f>(ROUND((ROUND(((ET324)*AV324*I324),2)*BB324),2)+ROUND((ROUND(((AE324-(EU324))*AV324*I324),2)*BS324),2))</f>
        <v>0</v>
      </c>
      <c r="R324">
        <f t="shared" si="285"/>
        <v>0</v>
      </c>
      <c r="S324">
        <f t="shared" si="286"/>
        <v>0</v>
      </c>
      <c r="T324">
        <f t="shared" si="287"/>
        <v>0</v>
      </c>
      <c r="U324">
        <f t="shared" si="288"/>
        <v>0</v>
      </c>
      <c r="V324">
        <f t="shared" si="289"/>
        <v>0</v>
      </c>
      <c r="W324">
        <f t="shared" si="290"/>
        <v>0</v>
      </c>
      <c r="X324">
        <f t="shared" si="291"/>
        <v>0</v>
      </c>
      <c r="Y324">
        <f t="shared" si="292"/>
        <v>0</v>
      </c>
      <c r="AA324">
        <v>53860087</v>
      </c>
      <c r="AB324">
        <f t="shared" si="293"/>
        <v>108.25</v>
      </c>
      <c r="AC324">
        <f t="shared" si="294"/>
        <v>108.25</v>
      </c>
      <c r="AD324">
        <f>ROUND((((ET324)-(EU324))+AE324),6)</f>
        <v>0</v>
      </c>
      <c r="AE324">
        <f>ROUND((EU324),6)</f>
        <v>0</v>
      </c>
      <c r="AF324">
        <f>ROUND((EV324),6)</f>
        <v>0</v>
      </c>
      <c r="AG324">
        <f t="shared" si="295"/>
        <v>0</v>
      </c>
      <c r="AH324">
        <f>(EW324)</f>
        <v>0</v>
      </c>
      <c r="AI324">
        <f>(EX324)</f>
        <v>0</v>
      </c>
      <c r="AJ324">
        <f t="shared" si="296"/>
        <v>0</v>
      </c>
      <c r="AK324">
        <v>108.25</v>
      </c>
      <c r="AL324">
        <v>108.25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1</v>
      </c>
      <c r="AW324">
        <v>1</v>
      </c>
      <c r="AZ324">
        <v>1</v>
      </c>
      <c r="BA324">
        <v>1</v>
      </c>
      <c r="BB324">
        <v>1</v>
      </c>
      <c r="BC324">
        <v>4.74</v>
      </c>
      <c r="BD324" t="s">
        <v>3</v>
      </c>
      <c r="BE324" t="s">
        <v>3</v>
      </c>
      <c r="BF324" t="s">
        <v>3</v>
      </c>
      <c r="BG324" t="s">
        <v>3</v>
      </c>
      <c r="BH324">
        <v>3</v>
      </c>
      <c r="BI324">
        <v>1</v>
      </c>
      <c r="BJ324" t="s">
        <v>90</v>
      </c>
      <c r="BM324">
        <v>2087</v>
      </c>
      <c r="BN324">
        <v>0</v>
      </c>
      <c r="BO324" t="s">
        <v>89</v>
      </c>
      <c r="BP324">
        <v>1</v>
      </c>
      <c r="BQ324">
        <v>30</v>
      </c>
      <c r="BR324">
        <v>0</v>
      </c>
      <c r="BS324">
        <v>1</v>
      </c>
      <c r="BT324">
        <v>1</v>
      </c>
      <c r="BU324">
        <v>1</v>
      </c>
      <c r="BV324">
        <v>1</v>
      </c>
      <c r="BW324">
        <v>1</v>
      </c>
      <c r="BX324">
        <v>1</v>
      </c>
      <c r="BY324" t="s">
        <v>3</v>
      </c>
      <c r="BZ324">
        <v>0</v>
      </c>
      <c r="CA324">
        <v>0</v>
      </c>
      <c r="CB324" t="s">
        <v>3</v>
      </c>
      <c r="CE324">
        <v>30</v>
      </c>
      <c r="CF324">
        <v>0</v>
      </c>
      <c r="CG324">
        <v>0</v>
      </c>
      <c r="CM324">
        <v>0</v>
      </c>
      <c r="CN324" t="s">
        <v>3</v>
      </c>
      <c r="CO324">
        <v>0</v>
      </c>
      <c r="CP324">
        <f t="shared" si="297"/>
        <v>2309</v>
      </c>
      <c r="CQ324">
        <f t="shared" si="298"/>
        <v>513.11</v>
      </c>
      <c r="CR324">
        <f>(ROUND((ROUND(((ET324)*AV324*1),2)*BB324),2)+ROUND((ROUND(((AE324-(EU324))*AV324*1),2)*BS324),2))</f>
        <v>0</v>
      </c>
      <c r="CS324">
        <f t="shared" si="299"/>
        <v>0</v>
      </c>
      <c r="CT324">
        <f t="shared" si="300"/>
        <v>0</v>
      </c>
      <c r="CU324">
        <f t="shared" si="301"/>
        <v>0</v>
      </c>
      <c r="CV324">
        <f t="shared" si="302"/>
        <v>0</v>
      </c>
      <c r="CW324">
        <f t="shared" si="303"/>
        <v>0</v>
      </c>
      <c r="CX324">
        <f t="shared" si="304"/>
        <v>0</v>
      </c>
      <c r="CY324">
        <f t="shared" si="305"/>
        <v>0</v>
      </c>
      <c r="CZ324">
        <f t="shared" si="306"/>
        <v>0</v>
      </c>
      <c r="DC324" t="s">
        <v>3</v>
      </c>
      <c r="DD324" t="s">
        <v>3</v>
      </c>
      <c r="DE324" t="s">
        <v>3</v>
      </c>
      <c r="DF324" t="s">
        <v>3</v>
      </c>
      <c r="DG324" t="s">
        <v>3</v>
      </c>
      <c r="DH324" t="s">
        <v>3</v>
      </c>
      <c r="DI324" t="s">
        <v>3</v>
      </c>
      <c r="DJ324" t="s">
        <v>3</v>
      </c>
      <c r="DK324" t="s">
        <v>3</v>
      </c>
      <c r="DL324" t="s">
        <v>3</v>
      </c>
      <c r="DM324" t="s">
        <v>3</v>
      </c>
      <c r="DN324">
        <v>100</v>
      </c>
      <c r="DO324">
        <v>64</v>
      </c>
      <c r="DP324">
        <v>1</v>
      </c>
      <c r="DQ324">
        <v>1</v>
      </c>
      <c r="DU324">
        <v>1009</v>
      </c>
      <c r="DV324" t="s">
        <v>58</v>
      </c>
      <c r="DW324" t="s">
        <v>58</v>
      </c>
      <c r="DX324">
        <v>1</v>
      </c>
      <c r="DZ324" t="s">
        <v>3</v>
      </c>
      <c r="EA324" t="s">
        <v>3</v>
      </c>
      <c r="EB324" t="s">
        <v>3</v>
      </c>
      <c r="EC324" t="s">
        <v>3</v>
      </c>
      <c r="EE324">
        <v>53214868</v>
      </c>
      <c r="EF324">
        <v>30</v>
      </c>
      <c r="EG324" t="s">
        <v>37</v>
      </c>
      <c r="EH324">
        <v>0</v>
      </c>
      <c r="EI324" t="s">
        <v>3</v>
      </c>
      <c r="EJ324">
        <v>1</v>
      </c>
      <c r="EK324">
        <v>2087</v>
      </c>
      <c r="EL324" t="s">
        <v>146</v>
      </c>
      <c r="EM324" t="s">
        <v>147</v>
      </c>
      <c r="EO324" t="s">
        <v>3</v>
      </c>
      <c r="EQ324">
        <v>0</v>
      </c>
      <c r="ER324">
        <v>108.25</v>
      </c>
      <c r="ES324">
        <v>108.25</v>
      </c>
      <c r="ET324">
        <v>0</v>
      </c>
      <c r="EU324">
        <v>0</v>
      </c>
      <c r="EV324">
        <v>0</v>
      </c>
      <c r="EW324">
        <v>0</v>
      </c>
      <c r="EX324">
        <v>0</v>
      </c>
      <c r="FQ324">
        <v>0</v>
      </c>
      <c r="FR324">
        <f t="shared" si="307"/>
        <v>0</v>
      </c>
      <c r="FS324">
        <v>0</v>
      </c>
      <c r="FX324">
        <v>100</v>
      </c>
      <c r="FY324">
        <v>64</v>
      </c>
      <c r="GA324" t="s">
        <v>3</v>
      </c>
      <c r="GD324">
        <v>0</v>
      </c>
      <c r="GF324">
        <v>-1515598087</v>
      </c>
      <c r="GG324">
        <v>2</v>
      </c>
      <c r="GH324">
        <v>1</v>
      </c>
      <c r="GI324">
        <v>2</v>
      </c>
      <c r="GJ324">
        <v>0</v>
      </c>
      <c r="GK324">
        <f>ROUND(R324*(R12)/100,2)</f>
        <v>0</v>
      </c>
      <c r="GL324">
        <f t="shared" si="308"/>
        <v>0</v>
      </c>
      <c r="GM324">
        <f t="shared" si="309"/>
        <v>2309</v>
      </c>
      <c r="GN324">
        <f t="shared" si="310"/>
        <v>2309</v>
      </c>
      <c r="GO324">
        <f t="shared" si="311"/>
        <v>0</v>
      </c>
      <c r="GP324">
        <f t="shared" si="312"/>
        <v>0</v>
      </c>
      <c r="GR324">
        <v>0</v>
      </c>
      <c r="GS324">
        <v>3</v>
      </c>
      <c r="GT324">
        <v>0</v>
      </c>
      <c r="GU324" t="s">
        <v>3</v>
      </c>
      <c r="GV324">
        <f t="shared" si="313"/>
        <v>0</v>
      </c>
      <c r="GW324">
        <v>1</v>
      </c>
      <c r="GX324">
        <f t="shared" si="314"/>
        <v>0</v>
      </c>
      <c r="HA324">
        <v>0</v>
      </c>
      <c r="HB324">
        <v>0</v>
      </c>
      <c r="HC324">
        <f t="shared" si="315"/>
        <v>0</v>
      </c>
      <c r="HE324" t="s">
        <v>3</v>
      </c>
      <c r="HF324" t="s">
        <v>3</v>
      </c>
      <c r="HM324" t="s">
        <v>3</v>
      </c>
      <c r="HN324" t="s">
        <v>3</v>
      </c>
      <c r="HO324" t="s">
        <v>3</v>
      </c>
      <c r="HP324" t="s">
        <v>3</v>
      </c>
      <c r="HQ324" t="s">
        <v>3</v>
      </c>
      <c r="IK324">
        <v>0</v>
      </c>
    </row>
    <row r="326" spans="1:245" x14ac:dyDescent="0.2">
      <c r="A326" s="2">
        <v>51</v>
      </c>
      <c r="B326" s="2">
        <f>B307</f>
        <v>1</v>
      </c>
      <c r="C326" s="2">
        <f>A307</f>
        <v>4</v>
      </c>
      <c r="D326" s="2">
        <f>ROW(A307)</f>
        <v>307</v>
      </c>
      <c r="E326" s="2"/>
      <c r="F326" s="2" t="str">
        <f>IF(F307&lt;&gt;"",F307,"")</f>
        <v>Новый раздел</v>
      </c>
      <c r="G326" s="2" t="str">
        <f>IF(G307&lt;&gt;"",G307,"")</f>
        <v>Окна</v>
      </c>
      <c r="H326" s="2">
        <v>0</v>
      </c>
      <c r="I326" s="2"/>
      <c r="J326" s="2"/>
      <c r="K326" s="2"/>
      <c r="L326" s="2"/>
      <c r="M326" s="2"/>
      <c r="N326" s="2"/>
      <c r="O326" s="2">
        <f t="shared" ref="O326:T326" si="320">ROUND(AB326,2)</f>
        <v>239252.58</v>
      </c>
      <c r="P326" s="2">
        <f t="shared" si="320"/>
        <v>188113.43</v>
      </c>
      <c r="Q326" s="2">
        <f t="shared" si="320"/>
        <v>899.83</v>
      </c>
      <c r="R326" s="2">
        <f t="shared" si="320"/>
        <v>312.74</v>
      </c>
      <c r="S326" s="2">
        <f t="shared" si="320"/>
        <v>50239.32</v>
      </c>
      <c r="T326" s="2">
        <f t="shared" si="320"/>
        <v>0</v>
      </c>
      <c r="U326" s="2">
        <f>AH326</f>
        <v>145.43567999999999</v>
      </c>
      <c r="V326" s="2">
        <f>AI326</f>
        <v>0</v>
      </c>
      <c r="W326" s="2">
        <f>ROUND(AJ326,2)</f>
        <v>0</v>
      </c>
      <c r="X326" s="2">
        <f>ROUND(AK326,2)</f>
        <v>41171.61</v>
      </c>
      <c r="Y326" s="2">
        <f>ROUND(AL326,2)</f>
        <v>20598.12</v>
      </c>
      <c r="Z326" s="2"/>
      <c r="AA326" s="2"/>
      <c r="AB326" s="2">
        <f>ROUND(SUMIF(AA311:AA324,"=53860087",O311:O324),2)</f>
        <v>239252.58</v>
      </c>
      <c r="AC326" s="2">
        <f>ROUND(SUMIF(AA311:AA324,"=53860087",P311:P324),2)</f>
        <v>188113.43</v>
      </c>
      <c r="AD326" s="2">
        <f>ROUND(SUMIF(AA311:AA324,"=53860087",Q311:Q324),2)</f>
        <v>899.83</v>
      </c>
      <c r="AE326" s="2">
        <f>ROUND(SUMIF(AA311:AA324,"=53860087",R311:R324),2)</f>
        <v>312.74</v>
      </c>
      <c r="AF326" s="2">
        <f>ROUND(SUMIF(AA311:AA324,"=53860087",S311:S324),2)</f>
        <v>50239.32</v>
      </c>
      <c r="AG326" s="2">
        <f>ROUND(SUMIF(AA311:AA324,"=53860087",T311:T324),2)</f>
        <v>0</v>
      </c>
      <c r="AH326" s="2">
        <f>SUMIF(AA311:AA324,"=53860087",U311:U324)</f>
        <v>145.43567999999999</v>
      </c>
      <c r="AI326" s="2">
        <f>SUMIF(AA311:AA324,"=53860087",V311:V324)</f>
        <v>0</v>
      </c>
      <c r="AJ326" s="2">
        <f>ROUND(SUMIF(AA311:AA324,"=53860087",W311:W324),2)</f>
        <v>0</v>
      </c>
      <c r="AK326" s="2">
        <f>ROUND(SUMIF(AA311:AA324,"=53860087",X311:X324),2)</f>
        <v>41171.61</v>
      </c>
      <c r="AL326" s="2">
        <f>ROUND(SUMIF(AA311:AA324,"=53860087",Y311:Y324),2)</f>
        <v>20598.12</v>
      </c>
      <c r="AM326" s="2"/>
      <c r="AN326" s="2"/>
      <c r="AO326" s="2">
        <f t="shared" ref="AO326:BD326" si="321">ROUND(BX326,2)</f>
        <v>0</v>
      </c>
      <c r="AP326" s="2">
        <f t="shared" si="321"/>
        <v>0</v>
      </c>
      <c r="AQ326" s="2">
        <f t="shared" si="321"/>
        <v>0</v>
      </c>
      <c r="AR326" s="2">
        <f t="shared" si="321"/>
        <v>301522.69</v>
      </c>
      <c r="AS326" s="2">
        <f t="shared" si="321"/>
        <v>301522.69</v>
      </c>
      <c r="AT326" s="2">
        <f t="shared" si="321"/>
        <v>0</v>
      </c>
      <c r="AU326" s="2">
        <f t="shared" si="321"/>
        <v>0</v>
      </c>
      <c r="AV326" s="2">
        <f t="shared" si="321"/>
        <v>188113.43</v>
      </c>
      <c r="AW326" s="2">
        <f t="shared" si="321"/>
        <v>188113.43</v>
      </c>
      <c r="AX326" s="2">
        <f t="shared" si="321"/>
        <v>0</v>
      </c>
      <c r="AY326" s="2">
        <f t="shared" si="321"/>
        <v>188113.43</v>
      </c>
      <c r="AZ326" s="2">
        <f t="shared" si="321"/>
        <v>0</v>
      </c>
      <c r="BA326" s="2">
        <f t="shared" si="321"/>
        <v>0</v>
      </c>
      <c r="BB326" s="2">
        <f t="shared" si="321"/>
        <v>0</v>
      </c>
      <c r="BC326" s="2">
        <f t="shared" si="321"/>
        <v>0</v>
      </c>
      <c r="BD326" s="2">
        <f t="shared" si="321"/>
        <v>0</v>
      </c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>
        <f>ROUND(SUMIF(AA311:AA324,"=53860087",FQ311:FQ324),2)</f>
        <v>0</v>
      </c>
      <c r="BY326" s="2">
        <f>ROUND(SUMIF(AA311:AA324,"=53860087",FR311:FR324),2)</f>
        <v>0</v>
      </c>
      <c r="BZ326" s="2">
        <f>ROUND(SUMIF(AA311:AA324,"=53860087",GL311:GL324),2)</f>
        <v>0</v>
      </c>
      <c r="CA326" s="2">
        <f>ROUND(SUMIF(AA311:AA324,"=53860087",GM311:GM324),2)</f>
        <v>301522.69</v>
      </c>
      <c r="CB326" s="2">
        <f>ROUND(SUMIF(AA311:AA324,"=53860087",GN311:GN324),2)</f>
        <v>301522.69</v>
      </c>
      <c r="CC326" s="2">
        <f>ROUND(SUMIF(AA311:AA324,"=53860087",GO311:GO324),2)</f>
        <v>0</v>
      </c>
      <c r="CD326" s="2">
        <f>ROUND(SUMIF(AA311:AA324,"=53860087",GP311:GP324),2)</f>
        <v>0</v>
      </c>
      <c r="CE326" s="2">
        <f>AC326-BX326</f>
        <v>188113.43</v>
      </c>
      <c r="CF326" s="2">
        <f>AC326-BY326</f>
        <v>188113.43</v>
      </c>
      <c r="CG326" s="2">
        <f>BX326-BZ326</f>
        <v>0</v>
      </c>
      <c r="CH326" s="2">
        <f>AC326-BX326-BY326+BZ326</f>
        <v>188113.43</v>
      </c>
      <c r="CI326" s="2">
        <f>BY326-BZ326</f>
        <v>0</v>
      </c>
      <c r="CJ326" s="2">
        <f>ROUND(SUMIF(AA311:AA324,"=53860087",GX311:GX324),2)</f>
        <v>0</v>
      </c>
      <c r="CK326" s="2">
        <f>ROUND(SUMIF(AA311:AA324,"=53860087",GY311:GY324),2)</f>
        <v>0</v>
      </c>
      <c r="CL326" s="2">
        <f>ROUND(SUMIF(AA311:AA324,"=53860087",GZ311:GZ324),2)</f>
        <v>0</v>
      </c>
      <c r="CM326" s="2">
        <f>ROUND(SUMIF(AA311:AA324,"=53860087",HD311:HD324),2)</f>
        <v>0</v>
      </c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3"/>
      <c r="DH326" s="3"/>
      <c r="DI326" s="3"/>
      <c r="DJ326" s="3"/>
      <c r="DK326" s="3"/>
      <c r="DL326" s="3"/>
      <c r="DM326" s="3"/>
      <c r="DN326" s="3"/>
      <c r="DO326" s="3"/>
      <c r="DP326" s="3"/>
      <c r="DQ326" s="3"/>
      <c r="DR326" s="3"/>
      <c r="DS326" s="3"/>
      <c r="DT326" s="3"/>
      <c r="DU326" s="3"/>
      <c r="DV326" s="3"/>
      <c r="DW326" s="3"/>
      <c r="DX326" s="3"/>
      <c r="DY326" s="3"/>
      <c r="DZ326" s="3"/>
      <c r="EA326" s="3"/>
      <c r="EB326" s="3"/>
      <c r="EC326" s="3"/>
      <c r="ED326" s="3"/>
      <c r="EE326" s="3"/>
      <c r="EF326" s="3"/>
      <c r="EG326" s="3"/>
      <c r="EH326" s="3"/>
      <c r="EI326" s="3"/>
      <c r="EJ326" s="3"/>
      <c r="EK326" s="3"/>
      <c r="EL326" s="3"/>
      <c r="EM326" s="3"/>
      <c r="EN326" s="3"/>
      <c r="EO326" s="3"/>
      <c r="EP326" s="3"/>
      <c r="EQ326" s="3"/>
      <c r="ER326" s="3"/>
      <c r="ES326" s="3"/>
      <c r="ET326" s="3"/>
      <c r="EU326" s="3"/>
      <c r="EV326" s="3"/>
      <c r="EW326" s="3"/>
      <c r="EX326" s="3"/>
      <c r="EY326" s="3"/>
      <c r="EZ326" s="3"/>
      <c r="FA326" s="3"/>
      <c r="FB326" s="3"/>
      <c r="FC326" s="3"/>
      <c r="FD326" s="3"/>
      <c r="FE326" s="3"/>
      <c r="FF326" s="3"/>
      <c r="FG326" s="3"/>
      <c r="FH326" s="3"/>
      <c r="FI326" s="3"/>
      <c r="FJ326" s="3"/>
      <c r="FK326" s="3"/>
      <c r="FL326" s="3"/>
      <c r="FM326" s="3"/>
      <c r="FN326" s="3"/>
      <c r="FO326" s="3"/>
      <c r="FP326" s="3"/>
      <c r="FQ326" s="3"/>
      <c r="FR326" s="3"/>
      <c r="FS326" s="3"/>
      <c r="FT326" s="3"/>
      <c r="FU326" s="3"/>
      <c r="FV326" s="3"/>
      <c r="FW326" s="3"/>
      <c r="FX326" s="3"/>
      <c r="FY326" s="3"/>
      <c r="FZ326" s="3"/>
      <c r="GA326" s="3"/>
      <c r="GB326" s="3"/>
      <c r="GC326" s="3"/>
      <c r="GD326" s="3"/>
      <c r="GE326" s="3"/>
      <c r="GF326" s="3"/>
      <c r="GG326" s="3"/>
      <c r="GH326" s="3"/>
      <c r="GI326" s="3"/>
      <c r="GJ326" s="3"/>
      <c r="GK326" s="3"/>
      <c r="GL326" s="3"/>
      <c r="GM326" s="3"/>
      <c r="GN326" s="3"/>
      <c r="GO326" s="3"/>
      <c r="GP326" s="3"/>
      <c r="GQ326" s="3"/>
      <c r="GR326" s="3"/>
      <c r="GS326" s="3"/>
      <c r="GT326" s="3"/>
      <c r="GU326" s="3"/>
      <c r="GV326" s="3"/>
      <c r="GW326" s="3"/>
      <c r="GX326" s="3">
        <v>0</v>
      </c>
    </row>
    <row r="328" spans="1:245" x14ac:dyDescent="0.2">
      <c r="A328" s="4">
        <v>50</v>
      </c>
      <c r="B328" s="4">
        <v>0</v>
      </c>
      <c r="C328" s="4">
        <v>0</v>
      </c>
      <c r="D328" s="4">
        <v>1</v>
      </c>
      <c r="E328" s="4">
        <v>201</v>
      </c>
      <c r="F328" s="4">
        <f>ROUND(Source!O326,O328)</f>
        <v>239252.58</v>
      </c>
      <c r="G328" s="4" t="s">
        <v>159</v>
      </c>
      <c r="H328" s="4" t="s">
        <v>160</v>
      </c>
      <c r="I328" s="4"/>
      <c r="J328" s="4"/>
      <c r="K328" s="4">
        <v>201</v>
      </c>
      <c r="L328" s="4">
        <v>1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239252.58</v>
      </c>
      <c r="X328" s="4">
        <v>1</v>
      </c>
      <c r="Y328" s="4">
        <v>239252.58</v>
      </c>
      <c r="Z328" s="4"/>
      <c r="AA328" s="4"/>
      <c r="AB328" s="4"/>
    </row>
    <row r="329" spans="1:245" x14ac:dyDescent="0.2">
      <c r="A329" s="4">
        <v>50</v>
      </c>
      <c r="B329" s="4">
        <v>0</v>
      </c>
      <c r="C329" s="4">
        <v>0</v>
      </c>
      <c r="D329" s="4">
        <v>1</v>
      </c>
      <c r="E329" s="4">
        <v>202</v>
      </c>
      <c r="F329" s="4">
        <f>ROUND(Source!P326,O329)</f>
        <v>188113.43</v>
      </c>
      <c r="G329" s="4" t="s">
        <v>161</v>
      </c>
      <c r="H329" s="4" t="s">
        <v>162</v>
      </c>
      <c r="I329" s="4"/>
      <c r="J329" s="4"/>
      <c r="K329" s="4">
        <v>202</v>
      </c>
      <c r="L329" s="4">
        <v>2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188113.43</v>
      </c>
      <c r="X329" s="4">
        <v>1</v>
      </c>
      <c r="Y329" s="4">
        <v>188113.43</v>
      </c>
      <c r="Z329" s="4"/>
      <c r="AA329" s="4"/>
      <c r="AB329" s="4"/>
    </row>
    <row r="330" spans="1:245" x14ac:dyDescent="0.2">
      <c r="A330" s="4">
        <v>50</v>
      </c>
      <c r="B330" s="4">
        <v>0</v>
      </c>
      <c r="C330" s="4">
        <v>0</v>
      </c>
      <c r="D330" s="4">
        <v>1</v>
      </c>
      <c r="E330" s="4">
        <v>222</v>
      </c>
      <c r="F330" s="4">
        <f>ROUND(Source!AO326,O330)</f>
        <v>0</v>
      </c>
      <c r="G330" s="4" t="s">
        <v>163</v>
      </c>
      <c r="H330" s="4" t="s">
        <v>164</v>
      </c>
      <c r="I330" s="4"/>
      <c r="J330" s="4"/>
      <c r="K330" s="4">
        <v>222</v>
      </c>
      <c r="L330" s="4">
        <v>3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45" x14ac:dyDescent="0.2">
      <c r="A331" s="4">
        <v>50</v>
      </c>
      <c r="B331" s="4">
        <v>0</v>
      </c>
      <c r="C331" s="4">
        <v>0</v>
      </c>
      <c r="D331" s="4">
        <v>1</v>
      </c>
      <c r="E331" s="4">
        <v>225</v>
      </c>
      <c r="F331" s="4">
        <f>ROUND(Source!AV326,O331)</f>
        <v>188113.43</v>
      </c>
      <c r="G331" s="4" t="s">
        <v>165</v>
      </c>
      <c r="H331" s="4" t="s">
        <v>166</v>
      </c>
      <c r="I331" s="4"/>
      <c r="J331" s="4"/>
      <c r="K331" s="4">
        <v>225</v>
      </c>
      <c r="L331" s="4">
        <v>4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188113.43</v>
      </c>
      <c r="X331" s="4">
        <v>1</v>
      </c>
      <c r="Y331" s="4">
        <v>188113.43</v>
      </c>
      <c r="Z331" s="4"/>
      <c r="AA331" s="4"/>
      <c r="AB331" s="4"/>
    </row>
    <row r="332" spans="1:245" x14ac:dyDescent="0.2">
      <c r="A332" s="4">
        <v>50</v>
      </c>
      <c r="B332" s="4">
        <v>0</v>
      </c>
      <c r="C332" s="4">
        <v>0</v>
      </c>
      <c r="D332" s="4">
        <v>1</v>
      </c>
      <c r="E332" s="4">
        <v>226</v>
      </c>
      <c r="F332" s="4">
        <f>ROUND(Source!AW326,O332)</f>
        <v>188113.43</v>
      </c>
      <c r="G332" s="4" t="s">
        <v>167</v>
      </c>
      <c r="H332" s="4" t="s">
        <v>168</v>
      </c>
      <c r="I332" s="4"/>
      <c r="J332" s="4"/>
      <c r="K332" s="4">
        <v>226</v>
      </c>
      <c r="L332" s="4">
        <v>5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188113.43</v>
      </c>
      <c r="X332" s="4">
        <v>1</v>
      </c>
      <c r="Y332" s="4">
        <v>188113.43</v>
      </c>
      <c r="Z332" s="4"/>
      <c r="AA332" s="4"/>
      <c r="AB332" s="4"/>
    </row>
    <row r="333" spans="1:245" x14ac:dyDescent="0.2">
      <c r="A333" s="4">
        <v>50</v>
      </c>
      <c r="B333" s="4">
        <v>0</v>
      </c>
      <c r="C333" s="4">
        <v>0</v>
      </c>
      <c r="D333" s="4">
        <v>1</v>
      </c>
      <c r="E333" s="4">
        <v>227</v>
      </c>
      <c r="F333" s="4">
        <f>ROUND(Source!AX326,O333)</f>
        <v>0</v>
      </c>
      <c r="G333" s="4" t="s">
        <v>169</v>
      </c>
      <c r="H333" s="4" t="s">
        <v>170</v>
      </c>
      <c r="I333" s="4"/>
      <c r="J333" s="4"/>
      <c r="K333" s="4">
        <v>227</v>
      </c>
      <c r="L333" s="4">
        <v>6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45" x14ac:dyDescent="0.2">
      <c r="A334" s="4">
        <v>50</v>
      </c>
      <c r="B334" s="4">
        <v>0</v>
      </c>
      <c r="C334" s="4">
        <v>0</v>
      </c>
      <c r="D334" s="4">
        <v>1</v>
      </c>
      <c r="E334" s="4">
        <v>228</v>
      </c>
      <c r="F334" s="4">
        <f>ROUND(Source!AY326,O334)</f>
        <v>188113.43</v>
      </c>
      <c r="G334" s="4" t="s">
        <v>171</v>
      </c>
      <c r="H334" s="4" t="s">
        <v>172</v>
      </c>
      <c r="I334" s="4"/>
      <c r="J334" s="4"/>
      <c r="K334" s="4">
        <v>228</v>
      </c>
      <c r="L334" s="4">
        <v>7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188113.43</v>
      </c>
      <c r="X334" s="4">
        <v>1</v>
      </c>
      <c r="Y334" s="4">
        <v>188113.43</v>
      </c>
      <c r="Z334" s="4"/>
      <c r="AA334" s="4"/>
      <c r="AB334" s="4"/>
    </row>
    <row r="335" spans="1:245" x14ac:dyDescent="0.2">
      <c r="A335" s="4">
        <v>50</v>
      </c>
      <c r="B335" s="4">
        <v>0</v>
      </c>
      <c r="C335" s="4">
        <v>0</v>
      </c>
      <c r="D335" s="4">
        <v>1</v>
      </c>
      <c r="E335" s="4">
        <v>216</v>
      </c>
      <c r="F335" s="4">
        <f>ROUND(Source!AP326,O335)</f>
        <v>0</v>
      </c>
      <c r="G335" s="4" t="s">
        <v>173</v>
      </c>
      <c r="H335" s="4" t="s">
        <v>174</v>
      </c>
      <c r="I335" s="4"/>
      <c r="J335" s="4"/>
      <c r="K335" s="4">
        <v>216</v>
      </c>
      <c r="L335" s="4">
        <v>8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45" x14ac:dyDescent="0.2">
      <c r="A336" s="4">
        <v>50</v>
      </c>
      <c r="B336" s="4">
        <v>0</v>
      </c>
      <c r="C336" s="4">
        <v>0</v>
      </c>
      <c r="D336" s="4">
        <v>1</v>
      </c>
      <c r="E336" s="4">
        <v>223</v>
      </c>
      <c r="F336" s="4">
        <f>ROUND(Source!AQ326,O336)</f>
        <v>0</v>
      </c>
      <c r="G336" s="4" t="s">
        <v>175</v>
      </c>
      <c r="H336" s="4" t="s">
        <v>176</v>
      </c>
      <c r="I336" s="4"/>
      <c r="J336" s="4"/>
      <c r="K336" s="4">
        <v>223</v>
      </c>
      <c r="L336" s="4">
        <v>9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8" x14ac:dyDescent="0.2">
      <c r="A337" s="4">
        <v>50</v>
      </c>
      <c r="B337" s="4">
        <v>0</v>
      </c>
      <c r="C337" s="4">
        <v>0</v>
      </c>
      <c r="D337" s="4">
        <v>1</v>
      </c>
      <c r="E337" s="4">
        <v>229</v>
      </c>
      <c r="F337" s="4">
        <f>ROUND(Source!AZ326,O337)</f>
        <v>0</v>
      </c>
      <c r="G337" s="4" t="s">
        <v>177</v>
      </c>
      <c r="H337" s="4" t="s">
        <v>178</v>
      </c>
      <c r="I337" s="4"/>
      <c r="J337" s="4"/>
      <c r="K337" s="4">
        <v>229</v>
      </c>
      <c r="L337" s="4">
        <v>10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 x14ac:dyDescent="0.2">
      <c r="A338" s="4">
        <v>50</v>
      </c>
      <c r="B338" s="4">
        <v>0</v>
      </c>
      <c r="C338" s="4">
        <v>0</v>
      </c>
      <c r="D338" s="4">
        <v>1</v>
      </c>
      <c r="E338" s="4">
        <v>203</v>
      </c>
      <c r="F338" s="4">
        <f>ROUND(Source!Q326,O338)</f>
        <v>899.83</v>
      </c>
      <c r="G338" s="4" t="s">
        <v>179</v>
      </c>
      <c r="H338" s="4" t="s">
        <v>180</v>
      </c>
      <c r="I338" s="4"/>
      <c r="J338" s="4"/>
      <c r="K338" s="4">
        <v>203</v>
      </c>
      <c r="L338" s="4">
        <v>11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899.83</v>
      </c>
      <c r="X338" s="4">
        <v>1</v>
      </c>
      <c r="Y338" s="4">
        <v>899.83</v>
      </c>
      <c r="Z338" s="4"/>
      <c r="AA338" s="4"/>
      <c r="AB338" s="4"/>
    </row>
    <row r="339" spans="1:28" x14ac:dyDescent="0.2">
      <c r="A339" s="4">
        <v>50</v>
      </c>
      <c r="B339" s="4">
        <v>0</v>
      </c>
      <c r="C339" s="4">
        <v>0</v>
      </c>
      <c r="D339" s="4">
        <v>1</v>
      </c>
      <c r="E339" s="4">
        <v>231</v>
      </c>
      <c r="F339" s="4">
        <f>ROUND(Source!BB326,O339)</f>
        <v>0</v>
      </c>
      <c r="G339" s="4" t="s">
        <v>181</v>
      </c>
      <c r="H339" s="4" t="s">
        <v>182</v>
      </c>
      <c r="I339" s="4"/>
      <c r="J339" s="4"/>
      <c r="K339" s="4">
        <v>231</v>
      </c>
      <c r="L339" s="4">
        <v>12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8" x14ac:dyDescent="0.2">
      <c r="A340" s="4">
        <v>50</v>
      </c>
      <c r="B340" s="4">
        <v>0</v>
      </c>
      <c r="C340" s="4">
        <v>0</v>
      </c>
      <c r="D340" s="4">
        <v>1</v>
      </c>
      <c r="E340" s="4">
        <v>204</v>
      </c>
      <c r="F340" s="4">
        <f>ROUND(Source!R326,O340)</f>
        <v>312.74</v>
      </c>
      <c r="G340" s="4" t="s">
        <v>183</v>
      </c>
      <c r="H340" s="4" t="s">
        <v>184</v>
      </c>
      <c r="I340" s="4"/>
      <c r="J340" s="4"/>
      <c r="K340" s="4">
        <v>204</v>
      </c>
      <c r="L340" s="4">
        <v>13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312.74</v>
      </c>
      <c r="X340" s="4">
        <v>1</v>
      </c>
      <c r="Y340" s="4">
        <v>312.74</v>
      </c>
      <c r="Z340" s="4"/>
      <c r="AA340" s="4"/>
      <c r="AB340" s="4"/>
    </row>
    <row r="341" spans="1:28" x14ac:dyDescent="0.2">
      <c r="A341" s="4">
        <v>50</v>
      </c>
      <c r="B341" s="4">
        <v>0</v>
      </c>
      <c r="C341" s="4">
        <v>0</v>
      </c>
      <c r="D341" s="4">
        <v>1</v>
      </c>
      <c r="E341" s="4">
        <v>205</v>
      </c>
      <c r="F341" s="4">
        <f>ROUND(Source!S326,O341)</f>
        <v>50239.32</v>
      </c>
      <c r="G341" s="4" t="s">
        <v>185</v>
      </c>
      <c r="H341" s="4" t="s">
        <v>186</v>
      </c>
      <c r="I341" s="4"/>
      <c r="J341" s="4"/>
      <c r="K341" s="4">
        <v>205</v>
      </c>
      <c r="L341" s="4">
        <v>14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50239.32</v>
      </c>
      <c r="X341" s="4">
        <v>1</v>
      </c>
      <c r="Y341" s="4">
        <v>50239.32</v>
      </c>
      <c r="Z341" s="4"/>
      <c r="AA341" s="4"/>
      <c r="AB341" s="4"/>
    </row>
    <row r="342" spans="1:28" x14ac:dyDescent="0.2">
      <c r="A342" s="4">
        <v>50</v>
      </c>
      <c r="B342" s="4">
        <v>0</v>
      </c>
      <c r="C342" s="4">
        <v>0</v>
      </c>
      <c r="D342" s="4">
        <v>1</v>
      </c>
      <c r="E342" s="4">
        <v>232</v>
      </c>
      <c r="F342" s="4">
        <f>ROUND(Source!BC326,O342)</f>
        <v>0</v>
      </c>
      <c r="G342" s="4" t="s">
        <v>187</v>
      </c>
      <c r="H342" s="4" t="s">
        <v>188</v>
      </c>
      <c r="I342" s="4"/>
      <c r="J342" s="4"/>
      <c r="K342" s="4">
        <v>232</v>
      </c>
      <c r="L342" s="4">
        <v>15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0</v>
      </c>
      <c r="X342" s="4">
        <v>1</v>
      </c>
      <c r="Y342" s="4">
        <v>0</v>
      </c>
      <c r="Z342" s="4"/>
      <c r="AA342" s="4"/>
      <c r="AB342" s="4"/>
    </row>
    <row r="343" spans="1:28" x14ac:dyDescent="0.2">
      <c r="A343" s="4">
        <v>50</v>
      </c>
      <c r="B343" s="4">
        <v>0</v>
      </c>
      <c r="C343" s="4">
        <v>0</v>
      </c>
      <c r="D343" s="4">
        <v>1</v>
      </c>
      <c r="E343" s="4">
        <v>214</v>
      </c>
      <c r="F343" s="4">
        <f>ROUND(Source!AS326,O343)</f>
        <v>301522.69</v>
      </c>
      <c r="G343" s="4" t="s">
        <v>189</v>
      </c>
      <c r="H343" s="4" t="s">
        <v>190</v>
      </c>
      <c r="I343" s="4"/>
      <c r="J343" s="4"/>
      <c r="K343" s="4">
        <v>214</v>
      </c>
      <c r="L343" s="4">
        <v>16</v>
      </c>
      <c r="M343" s="4">
        <v>3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301522.69</v>
      </c>
      <c r="X343" s="4">
        <v>1</v>
      </c>
      <c r="Y343" s="4">
        <v>301522.69</v>
      </c>
      <c r="Z343" s="4"/>
      <c r="AA343" s="4"/>
      <c r="AB343" s="4"/>
    </row>
    <row r="344" spans="1:28" x14ac:dyDescent="0.2">
      <c r="A344" s="4">
        <v>50</v>
      </c>
      <c r="B344" s="4">
        <v>0</v>
      </c>
      <c r="C344" s="4">
        <v>0</v>
      </c>
      <c r="D344" s="4">
        <v>1</v>
      </c>
      <c r="E344" s="4">
        <v>215</v>
      </c>
      <c r="F344" s="4">
        <f>ROUND(Source!AT326,O344)</f>
        <v>0</v>
      </c>
      <c r="G344" s="4" t="s">
        <v>46</v>
      </c>
      <c r="H344" s="4" t="s">
        <v>191</v>
      </c>
      <c r="I344" s="4"/>
      <c r="J344" s="4"/>
      <c r="K344" s="4">
        <v>215</v>
      </c>
      <c r="L344" s="4">
        <v>17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8" x14ac:dyDescent="0.2">
      <c r="A345" s="4">
        <v>50</v>
      </c>
      <c r="B345" s="4">
        <v>0</v>
      </c>
      <c r="C345" s="4">
        <v>0</v>
      </c>
      <c r="D345" s="4">
        <v>1</v>
      </c>
      <c r="E345" s="4">
        <v>217</v>
      </c>
      <c r="F345" s="4">
        <f>ROUND(Source!AU326,O345)</f>
        <v>0</v>
      </c>
      <c r="G345" s="4" t="s">
        <v>192</v>
      </c>
      <c r="H345" s="4" t="s">
        <v>193</v>
      </c>
      <c r="I345" s="4"/>
      <c r="J345" s="4"/>
      <c r="K345" s="4">
        <v>217</v>
      </c>
      <c r="L345" s="4">
        <v>18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8" x14ac:dyDescent="0.2">
      <c r="A346" s="4">
        <v>50</v>
      </c>
      <c r="B346" s="4">
        <v>0</v>
      </c>
      <c r="C346" s="4">
        <v>0</v>
      </c>
      <c r="D346" s="4">
        <v>1</v>
      </c>
      <c r="E346" s="4">
        <v>230</v>
      </c>
      <c r="F346" s="4">
        <f>ROUND(Source!BA326,O346)</f>
        <v>0</v>
      </c>
      <c r="G346" s="4" t="s">
        <v>194</v>
      </c>
      <c r="H346" s="4" t="s">
        <v>195</v>
      </c>
      <c r="I346" s="4"/>
      <c r="J346" s="4"/>
      <c r="K346" s="4">
        <v>230</v>
      </c>
      <c r="L346" s="4">
        <v>19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0</v>
      </c>
      <c r="X346" s="4">
        <v>1</v>
      </c>
      <c r="Y346" s="4">
        <v>0</v>
      </c>
      <c r="Z346" s="4"/>
      <c r="AA346" s="4"/>
      <c r="AB346" s="4"/>
    </row>
    <row r="347" spans="1:28" x14ac:dyDescent="0.2">
      <c r="A347" s="4">
        <v>50</v>
      </c>
      <c r="B347" s="4">
        <v>0</v>
      </c>
      <c r="C347" s="4">
        <v>0</v>
      </c>
      <c r="D347" s="4">
        <v>1</v>
      </c>
      <c r="E347" s="4">
        <v>206</v>
      </c>
      <c r="F347" s="4">
        <f>ROUND(Source!T326,O347)</f>
        <v>0</v>
      </c>
      <c r="G347" s="4" t="s">
        <v>196</v>
      </c>
      <c r="H347" s="4" t="s">
        <v>197</v>
      </c>
      <c r="I347" s="4"/>
      <c r="J347" s="4"/>
      <c r="K347" s="4">
        <v>206</v>
      </c>
      <c r="L347" s="4">
        <v>20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0</v>
      </c>
      <c r="X347" s="4">
        <v>1</v>
      </c>
      <c r="Y347" s="4">
        <v>0</v>
      </c>
      <c r="Z347" s="4"/>
      <c r="AA347" s="4"/>
      <c r="AB347" s="4"/>
    </row>
    <row r="348" spans="1:28" x14ac:dyDescent="0.2">
      <c r="A348" s="4">
        <v>50</v>
      </c>
      <c r="B348" s="4">
        <v>0</v>
      </c>
      <c r="C348" s="4">
        <v>0</v>
      </c>
      <c r="D348" s="4">
        <v>1</v>
      </c>
      <c r="E348" s="4">
        <v>207</v>
      </c>
      <c r="F348" s="4">
        <f>Source!U326</f>
        <v>145.43567999999999</v>
      </c>
      <c r="G348" s="4" t="s">
        <v>198</v>
      </c>
      <c r="H348" s="4" t="s">
        <v>199</v>
      </c>
      <c r="I348" s="4"/>
      <c r="J348" s="4"/>
      <c r="K348" s="4">
        <v>207</v>
      </c>
      <c r="L348" s="4">
        <v>21</v>
      </c>
      <c r="M348" s="4">
        <v>3</v>
      </c>
      <c r="N348" s="4" t="s">
        <v>3</v>
      </c>
      <c r="O348" s="4">
        <v>-1</v>
      </c>
      <c r="P348" s="4"/>
      <c r="Q348" s="4"/>
      <c r="R348" s="4"/>
      <c r="S348" s="4"/>
      <c r="T348" s="4"/>
      <c r="U348" s="4"/>
      <c r="V348" s="4"/>
      <c r="W348" s="4">
        <v>145.43567999999999</v>
      </c>
      <c r="X348" s="4">
        <v>1</v>
      </c>
      <c r="Y348" s="4">
        <v>145.43567999999999</v>
      </c>
      <c r="Z348" s="4"/>
      <c r="AA348" s="4"/>
      <c r="AB348" s="4"/>
    </row>
    <row r="349" spans="1:28" x14ac:dyDescent="0.2">
      <c r="A349" s="4">
        <v>50</v>
      </c>
      <c r="B349" s="4">
        <v>0</v>
      </c>
      <c r="C349" s="4">
        <v>0</v>
      </c>
      <c r="D349" s="4">
        <v>1</v>
      </c>
      <c r="E349" s="4">
        <v>208</v>
      </c>
      <c r="F349" s="4">
        <f>Source!V326</f>
        <v>0</v>
      </c>
      <c r="G349" s="4" t="s">
        <v>200</v>
      </c>
      <c r="H349" s="4" t="s">
        <v>201</v>
      </c>
      <c r="I349" s="4"/>
      <c r="J349" s="4"/>
      <c r="K349" s="4">
        <v>208</v>
      </c>
      <c r="L349" s="4">
        <v>22</v>
      </c>
      <c r="M349" s="4">
        <v>3</v>
      </c>
      <c r="N349" s="4" t="s">
        <v>3</v>
      </c>
      <c r="O349" s="4">
        <v>-1</v>
      </c>
      <c r="P349" s="4"/>
      <c r="Q349" s="4"/>
      <c r="R349" s="4"/>
      <c r="S349" s="4"/>
      <c r="T349" s="4"/>
      <c r="U349" s="4"/>
      <c r="V349" s="4"/>
      <c r="W349" s="4">
        <v>0</v>
      </c>
      <c r="X349" s="4">
        <v>1</v>
      </c>
      <c r="Y349" s="4">
        <v>0</v>
      </c>
      <c r="Z349" s="4"/>
      <c r="AA349" s="4"/>
      <c r="AB349" s="4"/>
    </row>
    <row r="350" spans="1:28" x14ac:dyDescent="0.2">
      <c r="A350" s="4">
        <v>50</v>
      </c>
      <c r="B350" s="4">
        <v>0</v>
      </c>
      <c r="C350" s="4">
        <v>0</v>
      </c>
      <c r="D350" s="4">
        <v>1</v>
      </c>
      <c r="E350" s="4">
        <v>209</v>
      </c>
      <c r="F350" s="4">
        <f>ROUND(Source!W326,O350)</f>
        <v>0</v>
      </c>
      <c r="G350" s="4" t="s">
        <v>202</v>
      </c>
      <c r="H350" s="4" t="s">
        <v>203</v>
      </c>
      <c r="I350" s="4"/>
      <c r="J350" s="4"/>
      <c r="K350" s="4">
        <v>209</v>
      </c>
      <c r="L350" s="4">
        <v>23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0</v>
      </c>
      <c r="X350" s="4">
        <v>1</v>
      </c>
      <c r="Y350" s="4">
        <v>0</v>
      </c>
      <c r="Z350" s="4"/>
      <c r="AA350" s="4"/>
      <c r="AB350" s="4"/>
    </row>
    <row r="351" spans="1:28" x14ac:dyDescent="0.2">
      <c r="A351" s="4">
        <v>50</v>
      </c>
      <c r="B351" s="4">
        <v>0</v>
      </c>
      <c r="C351" s="4">
        <v>0</v>
      </c>
      <c r="D351" s="4">
        <v>1</v>
      </c>
      <c r="E351" s="4">
        <v>233</v>
      </c>
      <c r="F351" s="4">
        <f>ROUND(Source!BD326,O351)</f>
        <v>0</v>
      </c>
      <c r="G351" s="4" t="s">
        <v>204</v>
      </c>
      <c r="H351" s="4" t="s">
        <v>205</v>
      </c>
      <c r="I351" s="4"/>
      <c r="J351" s="4"/>
      <c r="K351" s="4">
        <v>233</v>
      </c>
      <c r="L351" s="4">
        <v>24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8" x14ac:dyDescent="0.2">
      <c r="A352" s="4">
        <v>50</v>
      </c>
      <c r="B352" s="4">
        <v>0</v>
      </c>
      <c r="C352" s="4">
        <v>0</v>
      </c>
      <c r="D352" s="4">
        <v>1</v>
      </c>
      <c r="E352" s="4">
        <v>210</v>
      </c>
      <c r="F352" s="4">
        <f>ROUND(Source!X326,O352)</f>
        <v>41171.61</v>
      </c>
      <c r="G352" s="4" t="s">
        <v>206</v>
      </c>
      <c r="H352" s="4" t="s">
        <v>207</v>
      </c>
      <c r="I352" s="4"/>
      <c r="J352" s="4"/>
      <c r="K352" s="4">
        <v>210</v>
      </c>
      <c r="L352" s="4">
        <v>25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41171.61</v>
      </c>
      <c r="X352" s="4">
        <v>1</v>
      </c>
      <c r="Y352" s="4">
        <v>41171.61</v>
      </c>
      <c r="Z352" s="4"/>
      <c r="AA352" s="4"/>
      <c r="AB352" s="4"/>
    </row>
    <row r="353" spans="1:245" x14ac:dyDescent="0.2">
      <c r="A353" s="4">
        <v>50</v>
      </c>
      <c r="B353" s="4">
        <v>0</v>
      </c>
      <c r="C353" s="4">
        <v>0</v>
      </c>
      <c r="D353" s="4">
        <v>1</v>
      </c>
      <c r="E353" s="4">
        <v>211</v>
      </c>
      <c r="F353" s="4">
        <f>ROUND(Source!Y326,O353)</f>
        <v>20598.12</v>
      </c>
      <c r="G353" s="4" t="s">
        <v>208</v>
      </c>
      <c r="H353" s="4" t="s">
        <v>209</v>
      </c>
      <c r="I353" s="4"/>
      <c r="J353" s="4"/>
      <c r="K353" s="4">
        <v>211</v>
      </c>
      <c r="L353" s="4">
        <v>26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20598.12</v>
      </c>
      <c r="X353" s="4">
        <v>1</v>
      </c>
      <c r="Y353" s="4">
        <v>20598.12</v>
      </c>
      <c r="Z353" s="4"/>
      <c r="AA353" s="4"/>
      <c r="AB353" s="4"/>
    </row>
    <row r="354" spans="1:245" x14ac:dyDescent="0.2">
      <c r="A354" s="4">
        <v>50</v>
      </c>
      <c r="B354" s="4">
        <v>0</v>
      </c>
      <c r="C354" s="4">
        <v>0</v>
      </c>
      <c r="D354" s="4">
        <v>1</v>
      </c>
      <c r="E354" s="4">
        <v>224</v>
      </c>
      <c r="F354" s="4">
        <f>ROUND(Source!AR326,O354)</f>
        <v>301522.69</v>
      </c>
      <c r="G354" s="4" t="s">
        <v>210</v>
      </c>
      <c r="H354" s="4" t="s">
        <v>211</v>
      </c>
      <c r="I354" s="4"/>
      <c r="J354" s="4"/>
      <c r="K354" s="4">
        <v>224</v>
      </c>
      <c r="L354" s="4">
        <v>27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301522.69</v>
      </c>
      <c r="X354" s="4">
        <v>1</v>
      </c>
      <c r="Y354" s="4">
        <v>301522.69</v>
      </c>
      <c r="Z354" s="4"/>
      <c r="AA354" s="4"/>
      <c r="AB354" s="4"/>
    </row>
    <row r="356" spans="1:245" x14ac:dyDescent="0.2">
      <c r="A356" s="1">
        <v>4</v>
      </c>
      <c r="B356" s="1">
        <v>1</v>
      </c>
      <c r="C356" s="1"/>
      <c r="D356" s="1">
        <f>ROW(A364)</f>
        <v>364</v>
      </c>
      <c r="E356" s="1"/>
      <c r="F356" s="1" t="s">
        <v>14</v>
      </c>
      <c r="G356" s="1" t="s">
        <v>606</v>
      </c>
      <c r="H356" s="1" t="s">
        <v>3</v>
      </c>
      <c r="I356" s="1">
        <v>0</v>
      </c>
      <c r="J356" s="1"/>
      <c r="K356" s="1">
        <v>0</v>
      </c>
      <c r="L356" s="1"/>
      <c r="M356" s="1" t="s">
        <v>3</v>
      </c>
      <c r="N356" s="1"/>
      <c r="O356" s="1"/>
      <c r="P356" s="1"/>
      <c r="Q356" s="1"/>
      <c r="R356" s="1"/>
      <c r="S356" s="1">
        <v>0</v>
      </c>
      <c r="T356" s="1"/>
      <c r="U356" s="1" t="s">
        <v>3</v>
      </c>
      <c r="V356" s="1">
        <v>0</v>
      </c>
      <c r="W356" s="1"/>
      <c r="X356" s="1"/>
      <c r="Y356" s="1"/>
      <c r="Z356" s="1"/>
      <c r="AA356" s="1"/>
      <c r="AB356" s="1" t="s">
        <v>3</v>
      </c>
      <c r="AC356" s="1" t="s">
        <v>3</v>
      </c>
      <c r="AD356" s="1" t="s">
        <v>3</v>
      </c>
      <c r="AE356" s="1" t="s">
        <v>3</v>
      </c>
      <c r="AF356" s="1" t="s">
        <v>3</v>
      </c>
      <c r="AG356" s="1" t="s">
        <v>3</v>
      </c>
      <c r="AH356" s="1"/>
      <c r="AI356" s="1"/>
      <c r="AJ356" s="1"/>
      <c r="AK356" s="1"/>
      <c r="AL356" s="1"/>
      <c r="AM356" s="1"/>
      <c r="AN356" s="1"/>
      <c r="AO356" s="1"/>
      <c r="AP356" s="1" t="s">
        <v>3</v>
      </c>
      <c r="AQ356" s="1" t="s">
        <v>3</v>
      </c>
      <c r="AR356" s="1" t="s">
        <v>3</v>
      </c>
      <c r="AS356" s="1"/>
      <c r="AT356" s="1"/>
      <c r="AU356" s="1"/>
      <c r="AV356" s="1"/>
      <c r="AW356" s="1"/>
      <c r="AX356" s="1"/>
      <c r="AY356" s="1"/>
      <c r="AZ356" s="1" t="s">
        <v>3</v>
      </c>
      <c r="BA356" s="1"/>
      <c r="BB356" s="1" t="s">
        <v>3</v>
      </c>
      <c r="BC356" s="1" t="s">
        <v>3</v>
      </c>
      <c r="BD356" s="1" t="s">
        <v>3</v>
      </c>
      <c r="BE356" s="1" t="s">
        <v>3</v>
      </c>
      <c r="BF356" s="1" t="s">
        <v>3</v>
      </c>
      <c r="BG356" s="1" t="s">
        <v>3</v>
      </c>
      <c r="BH356" s="1" t="s">
        <v>3</v>
      </c>
      <c r="BI356" s="1" t="s">
        <v>3</v>
      </c>
      <c r="BJ356" s="1" t="s">
        <v>3</v>
      </c>
      <c r="BK356" s="1" t="s">
        <v>3</v>
      </c>
      <c r="BL356" s="1" t="s">
        <v>3</v>
      </c>
      <c r="BM356" s="1" t="s">
        <v>3</v>
      </c>
      <c r="BN356" s="1" t="s">
        <v>3</v>
      </c>
      <c r="BO356" s="1" t="s">
        <v>3</v>
      </c>
      <c r="BP356" s="1" t="s">
        <v>3</v>
      </c>
      <c r="BQ356" s="1"/>
      <c r="BR356" s="1"/>
      <c r="BS356" s="1"/>
      <c r="BT356" s="1"/>
      <c r="BU356" s="1"/>
      <c r="BV356" s="1"/>
      <c r="BW356" s="1"/>
      <c r="BX356" s="1">
        <v>0</v>
      </c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>
        <v>0</v>
      </c>
    </row>
    <row r="358" spans="1:245" x14ac:dyDescent="0.2">
      <c r="A358" s="2">
        <v>52</v>
      </c>
      <c r="B358" s="2">
        <f t="shared" ref="B358:G358" si="322">B364</f>
        <v>1</v>
      </c>
      <c r="C358" s="2">
        <f t="shared" si="322"/>
        <v>4</v>
      </c>
      <c r="D358" s="2">
        <f t="shared" si="322"/>
        <v>356</v>
      </c>
      <c r="E358" s="2">
        <f t="shared" si="322"/>
        <v>0</v>
      </c>
      <c r="F358" s="2" t="str">
        <f t="shared" si="322"/>
        <v>Новый раздел</v>
      </c>
      <c r="G358" s="2" t="str">
        <f t="shared" si="322"/>
        <v>Вывоз мусора</v>
      </c>
      <c r="H358" s="2"/>
      <c r="I358" s="2"/>
      <c r="J358" s="2"/>
      <c r="K358" s="2"/>
      <c r="L358" s="2"/>
      <c r="M358" s="2"/>
      <c r="N358" s="2"/>
      <c r="O358" s="2">
        <f t="shared" ref="O358:AT358" si="323">O364</f>
        <v>71181.61</v>
      </c>
      <c r="P358" s="2">
        <f t="shared" si="323"/>
        <v>0</v>
      </c>
      <c r="Q358" s="2">
        <f t="shared" si="323"/>
        <v>71181.61</v>
      </c>
      <c r="R358" s="2">
        <f t="shared" si="323"/>
        <v>1574.23</v>
      </c>
      <c r="S358" s="2">
        <f t="shared" si="323"/>
        <v>0</v>
      </c>
      <c r="T358" s="2">
        <f t="shared" si="323"/>
        <v>0</v>
      </c>
      <c r="U358" s="2">
        <f t="shared" si="323"/>
        <v>0</v>
      </c>
      <c r="V358" s="2">
        <f t="shared" si="323"/>
        <v>0</v>
      </c>
      <c r="W358" s="2">
        <f t="shared" si="323"/>
        <v>0</v>
      </c>
      <c r="X358" s="2">
        <f t="shared" si="323"/>
        <v>0</v>
      </c>
      <c r="Y358" s="2">
        <f t="shared" si="323"/>
        <v>0</v>
      </c>
      <c r="Z358" s="2">
        <f t="shared" si="323"/>
        <v>0</v>
      </c>
      <c r="AA358" s="2">
        <f t="shared" si="323"/>
        <v>0</v>
      </c>
      <c r="AB358" s="2">
        <f t="shared" si="323"/>
        <v>71181.61</v>
      </c>
      <c r="AC358" s="2">
        <f t="shared" si="323"/>
        <v>0</v>
      </c>
      <c r="AD358" s="2">
        <f t="shared" si="323"/>
        <v>71181.61</v>
      </c>
      <c r="AE358" s="2">
        <f t="shared" si="323"/>
        <v>1574.23</v>
      </c>
      <c r="AF358" s="2">
        <f t="shared" si="323"/>
        <v>0</v>
      </c>
      <c r="AG358" s="2">
        <f t="shared" si="323"/>
        <v>0</v>
      </c>
      <c r="AH358" s="2">
        <f t="shared" si="323"/>
        <v>0</v>
      </c>
      <c r="AI358" s="2">
        <f t="shared" si="323"/>
        <v>0</v>
      </c>
      <c r="AJ358" s="2">
        <f t="shared" si="323"/>
        <v>0</v>
      </c>
      <c r="AK358" s="2">
        <f t="shared" si="323"/>
        <v>0</v>
      </c>
      <c r="AL358" s="2">
        <f t="shared" si="323"/>
        <v>0</v>
      </c>
      <c r="AM358" s="2">
        <f t="shared" si="323"/>
        <v>0</v>
      </c>
      <c r="AN358" s="2">
        <f t="shared" si="323"/>
        <v>0</v>
      </c>
      <c r="AO358" s="2">
        <f t="shared" si="323"/>
        <v>0</v>
      </c>
      <c r="AP358" s="2">
        <f t="shared" si="323"/>
        <v>0</v>
      </c>
      <c r="AQ358" s="2">
        <f t="shared" si="323"/>
        <v>0</v>
      </c>
      <c r="AR358" s="2">
        <f t="shared" si="323"/>
        <v>73700.38</v>
      </c>
      <c r="AS358" s="2">
        <f t="shared" si="323"/>
        <v>6501.4</v>
      </c>
      <c r="AT358" s="2">
        <f t="shared" si="323"/>
        <v>0</v>
      </c>
      <c r="AU358" s="2">
        <f t="shared" ref="AU358:BZ358" si="324">AU364</f>
        <v>67198.98</v>
      </c>
      <c r="AV358" s="2">
        <f t="shared" si="324"/>
        <v>0</v>
      </c>
      <c r="AW358" s="2">
        <f t="shared" si="324"/>
        <v>0</v>
      </c>
      <c r="AX358" s="2">
        <f t="shared" si="324"/>
        <v>0</v>
      </c>
      <c r="AY358" s="2">
        <f t="shared" si="324"/>
        <v>0</v>
      </c>
      <c r="AZ358" s="2">
        <f t="shared" si="324"/>
        <v>0</v>
      </c>
      <c r="BA358" s="2">
        <f t="shared" si="324"/>
        <v>0</v>
      </c>
      <c r="BB358" s="2">
        <f t="shared" si="324"/>
        <v>0</v>
      </c>
      <c r="BC358" s="2">
        <f t="shared" si="324"/>
        <v>0</v>
      </c>
      <c r="BD358" s="2">
        <f t="shared" si="324"/>
        <v>0</v>
      </c>
      <c r="BE358" s="2">
        <f t="shared" si="324"/>
        <v>0</v>
      </c>
      <c r="BF358" s="2">
        <f t="shared" si="324"/>
        <v>0</v>
      </c>
      <c r="BG358" s="2">
        <f t="shared" si="324"/>
        <v>0</v>
      </c>
      <c r="BH358" s="2">
        <f t="shared" si="324"/>
        <v>0</v>
      </c>
      <c r="BI358" s="2">
        <f t="shared" si="324"/>
        <v>0</v>
      </c>
      <c r="BJ358" s="2">
        <f t="shared" si="324"/>
        <v>0</v>
      </c>
      <c r="BK358" s="2">
        <f t="shared" si="324"/>
        <v>0</v>
      </c>
      <c r="BL358" s="2">
        <f t="shared" si="324"/>
        <v>0</v>
      </c>
      <c r="BM358" s="2">
        <f t="shared" si="324"/>
        <v>0</v>
      </c>
      <c r="BN358" s="2">
        <f t="shared" si="324"/>
        <v>0</v>
      </c>
      <c r="BO358" s="2">
        <f t="shared" si="324"/>
        <v>0</v>
      </c>
      <c r="BP358" s="2">
        <f t="shared" si="324"/>
        <v>0</v>
      </c>
      <c r="BQ358" s="2">
        <f t="shared" si="324"/>
        <v>0</v>
      </c>
      <c r="BR358" s="2">
        <f t="shared" si="324"/>
        <v>0</v>
      </c>
      <c r="BS358" s="2">
        <f t="shared" si="324"/>
        <v>0</v>
      </c>
      <c r="BT358" s="2">
        <f t="shared" si="324"/>
        <v>0</v>
      </c>
      <c r="BU358" s="2">
        <f t="shared" si="324"/>
        <v>0</v>
      </c>
      <c r="BV358" s="2">
        <f t="shared" si="324"/>
        <v>0</v>
      </c>
      <c r="BW358" s="2">
        <f t="shared" si="324"/>
        <v>0</v>
      </c>
      <c r="BX358" s="2">
        <f t="shared" si="324"/>
        <v>0</v>
      </c>
      <c r="BY358" s="2">
        <f t="shared" si="324"/>
        <v>0</v>
      </c>
      <c r="BZ358" s="2">
        <f t="shared" si="324"/>
        <v>0</v>
      </c>
      <c r="CA358" s="2">
        <f t="shared" ref="CA358:DF358" si="325">CA364</f>
        <v>73700.38</v>
      </c>
      <c r="CB358" s="2">
        <f t="shared" si="325"/>
        <v>6501.4</v>
      </c>
      <c r="CC358" s="2">
        <f t="shared" si="325"/>
        <v>0</v>
      </c>
      <c r="CD358" s="2">
        <f t="shared" si="325"/>
        <v>67198.98</v>
      </c>
      <c r="CE358" s="2">
        <f t="shared" si="325"/>
        <v>0</v>
      </c>
      <c r="CF358" s="2">
        <f t="shared" si="325"/>
        <v>0</v>
      </c>
      <c r="CG358" s="2">
        <f t="shared" si="325"/>
        <v>0</v>
      </c>
      <c r="CH358" s="2">
        <f t="shared" si="325"/>
        <v>0</v>
      </c>
      <c r="CI358" s="2">
        <f t="shared" si="325"/>
        <v>0</v>
      </c>
      <c r="CJ358" s="2">
        <f t="shared" si="325"/>
        <v>0</v>
      </c>
      <c r="CK358" s="2">
        <f t="shared" si="325"/>
        <v>0</v>
      </c>
      <c r="CL358" s="2">
        <f t="shared" si="325"/>
        <v>0</v>
      </c>
      <c r="CM358" s="2">
        <f t="shared" si="325"/>
        <v>0</v>
      </c>
      <c r="CN358" s="2">
        <f t="shared" si="325"/>
        <v>0</v>
      </c>
      <c r="CO358" s="2">
        <f t="shared" si="325"/>
        <v>0</v>
      </c>
      <c r="CP358" s="2">
        <f t="shared" si="325"/>
        <v>0</v>
      </c>
      <c r="CQ358" s="2">
        <f t="shared" si="325"/>
        <v>0</v>
      </c>
      <c r="CR358" s="2">
        <f t="shared" si="325"/>
        <v>0</v>
      </c>
      <c r="CS358" s="2">
        <f t="shared" si="325"/>
        <v>0</v>
      </c>
      <c r="CT358" s="2">
        <f t="shared" si="325"/>
        <v>0</v>
      </c>
      <c r="CU358" s="2">
        <f t="shared" si="325"/>
        <v>0</v>
      </c>
      <c r="CV358" s="2">
        <f t="shared" si="325"/>
        <v>0</v>
      </c>
      <c r="CW358" s="2">
        <f t="shared" si="325"/>
        <v>0</v>
      </c>
      <c r="CX358" s="2">
        <f t="shared" si="325"/>
        <v>0</v>
      </c>
      <c r="CY358" s="2">
        <f t="shared" si="325"/>
        <v>0</v>
      </c>
      <c r="CZ358" s="2">
        <f t="shared" si="325"/>
        <v>0</v>
      </c>
      <c r="DA358" s="2">
        <f t="shared" si="325"/>
        <v>0</v>
      </c>
      <c r="DB358" s="2">
        <f t="shared" si="325"/>
        <v>0</v>
      </c>
      <c r="DC358" s="2">
        <f t="shared" si="325"/>
        <v>0</v>
      </c>
      <c r="DD358" s="2">
        <f t="shared" si="325"/>
        <v>0</v>
      </c>
      <c r="DE358" s="2">
        <f t="shared" si="325"/>
        <v>0</v>
      </c>
      <c r="DF358" s="2">
        <f t="shared" si="325"/>
        <v>0</v>
      </c>
      <c r="DG358" s="3">
        <f t="shared" ref="DG358:EL358" si="326">DG364</f>
        <v>0</v>
      </c>
      <c r="DH358" s="3">
        <f t="shared" si="326"/>
        <v>0</v>
      </c>
      <c r="DI358" s="3">
        <f t="shared" si="326"/>
        <v>0</v>
      </c>
      <c r="DJ358" s="3">
        <f t="shared" si="326"/>
        <v>0</v>
      </c>
      <c r="DK358" s="3">
        <f t="shared" si="326"/>
        <v>0</v>
      </c>
      <c r="DL358" s="3">
        <f t="shared" si="326"/>
        <v>0</v>
      </c>
      <c r="DM358" s="3">
        <f t="shared" si="326"/>
        <v>0</v>
      </c>
      <c r="DN358" s="3">
        <f t="shared" si="326"/>
        <v>0</v>
      </c>
      <c r="DO358" s="3">
        <f t="shared" si="326"/>
        <v>0</v>
      </c>
      <c r="DP358" s="3">
        <f t="shared" si="326"/>
        <v>0</v>
      </c>
      <c r="DQ358" s="3">
        <f t="shared" si="326"/>
        <v>0</v>
      </c>
      <c r="DR358" s="3">
        <f t="shared" si="326"/>
        <v>0</v>
      </c>
      <c r="DS358" s="3">
        <f t="shared" si="326"/>
        <v>0</v>
      </c>
      <c r="DT358" s="3">
        <f t="shared" si="326"/>
        <v>0</v>
      </c>
      <c r="DU358" s="3">
        <f t="shared" si="326"/>
        <v>0</v>
      </c>
      <c r="DV358" s="3">
        <f t="shared" si="326"/>
        <v>0</v>
      </c>
      <c r="DW358" s="3">
        <f t="shared" si="326"/>
        <v>0</v>
      </c>
      <c r="DX358" s="3">
        <f t="shared" si="326"/>
        <v>0</v>
      </c>
      <c r="DY358" s="3">
        <f t="shared" si="326"/>
        <v>0</v>
      </c>
      <c r="DZ358" s="3">
        <f t="shared" si="326"/>
        <v>0</v>
      </c>
      <c r="EA358" s="3">
        <f t="shared" si="326"/>
        <v>0</v>
      </c>
      <c r="EB358" s="3">
        <f t="shared" si="326"/>
        <v>0</v>
      </c>
      <c r="EC358" s="3">
        <f t="shared" si="326"/>
        <v>0</v>
      </c>
      <c r="ED358" s="3">
        <f t="shared" si="326"/>
        <v>0</v>
      </c>
      <c r="EE358" s="3">
        <f t="shared" si="326"/>
        <v>0</v>
      </c>
      <c r="EF358" s="3">
        <f t="shared" si="326"/>
        <v>0</v>
      </c>
      <c r="EG358" s="3">
        <f t="shared" si="326"/>
        <v>0</v>
      </c>
      <c r="EH358" s="3">
        <f t="shared" si="326"/>
        <v>0</v>
      </c>
      <c r="EI358" s="3">
        <f t="shared" si="326"/>
        <v>0</v>
      </c>
      <c r="EJ358" s="3">
        <f t="shared" si="326"/>
        <v>0</v>
      </c>
      <c r="EK358" s="3">
        <f t="shared" si="326"/>
        <v>0</v>
      </c>
      <c r="EL358" s="3">
        <f t="shared" si="326"/>
        <v>0</v>
      </c>
      <c r="EM358" s="3">
        <f t="shared" ref="EM358:FR358" si="327">EM364</f>
        <v>0</v>
      </c>
      <c r="EN358" s="3">
        <f t="shared" si="327"/>
        <v>0</v>
      </c>
      <c r="EO358" s="3">
        <f t="shared" si="327"/>
        <v>0</v>
      </c>
      <c r="EP358" s="3">
        <f t="shared" si="327"/>
        <v>0</v>
      </c>
      <c r="EQ358" s="3">
        <f t="shared" si="327"/>
        <v>0</v>
      </c>
      <c r="ER358" s="3">
        <f t="shared" si="327"/>
        <v>0</v>
      </c>
      <c r="ES358" s="3">
        <f t="shared" si="327"/>
        <v>0</v>
      </c>
      <c r="ET358" s="3">
        <f t="shared" si="327"/>
        <v>0</v>
      </c>
      <c r="EU358" s="3">
        <f t="shared" si="327"/>
        <v>0</v>
      </c>
      <c r="EV358" s="3">
        <f t="shared" si="327"/>
        <v>0</v>
      </c>
      <c r="EW358" s="3">
        <f t="shared" si="327"/>
        <v>0</v>
      </c>
      <c r="EX358" s="3">
        <f t="shared" si="327"/>
        <v>0</v>
      </c>
      <c r="EY358" s="3">
        <f t="shared" si="327"/>
        <v>0</v>
      </c>
      <c r="EZ358" s="3">
        <f t="shared" si="327"/>
        <v>0</v>
      </c>
      <c r="FA358" s="3">
        <f t="shared" si="327"/>
        <v>0</v>
      </c>
      <c r="FB358" s="3">
        <f t="shared" si="327"/>
        <v>0</v>
      </c>
      <c r="FC358" s="3">
        <f t="shared" si="327"/>
        <v>0</v>
      </c>
      <c r="FD358" s="3">
        <f t="shared" si="327"/>
        <v>0</v>
      </c>
      <c r="FE358" s="3">
        <f t="shared" si="327"/>
        <v>0</v>
      </c>
      <c r="FF358" s="3">
        <f t="shared" si="327"/>
        <v>0</v>
      </c>
      <c r="FG358" s="3">
        <f t="shared" si="327"/>
        <v>0</v>
      </c>
      <c r="FH358" s="3">
        <f t="shared" si="327"/>
        <v>0</v>
      </c>
      <c r="FI358" s="3">
        <f t="shared" si="327"/>
        <v>0</v>
      </c>
      <c r="FJ358" s="3">
        <f t="shared" si="327"/>
        <v>0</v>
      </c>
      <c r="FK358" s="3">
        <f t="shared" si="327"/>
        <v>0</v>
      </c>
      <c r="FL358" s="3">
        <f t="shared" si="327"/>
        <v>0</v>
      </c>
      <c r="FM358" s="3">
        <f t="shared" si="327"/>
        <v>0</v>
      </c>
      <c r="FN358" s="3">
        <f t="shared" si="327"/>
        <v>0</v>
      </c>
      <c r="FO358" s="3">
        <f t="shared" si="327"/>
        <v>0</v>
      </c>
      <c r="FP358" s="3">
        <f t="shared" si="327"/>
        <v>0</v>
      </c>
      <c r="FQ358" s="3">
        <f t="shared" si="327"/>
        <v>0</v>
      </c>
      <c r="FR358" s="3">
        <f t="shared" si="327"/>
        <v>0</v>
      </c>
      <c r="FS358" s="3">
        <f t="shared" ref="FS358:GX358" si="328">FS364</f>
        <v>0</v>
      </c>
      <c r="FT358" s="3">
        <f t="shared" si="328"/>
        <v>0</v>
      </c>
      <c r="FU358" s="3">
        <f t="shared" si="328"/>
        <v>0</v>
      </c>
      <c r="FV358" s="3">
        <f t="shared" si="328"/>
        <v>0</v>
      </c>
      <c r="FW358" s="3">
        <f t="shared" si="328"/>
        <v>0</v>
      </c>
      <c r="FX358" s="3">
        <f t="shared" si="328"/>
        <v>0</v>
      </c>
      <c r="FY358" s="3">
        <f t="shared" si="328"/>
        <v>0</v>
      </c>
      <c r="FZ358" s="3">
        <f t="shared" si="328"/>
        <v>0</v>
      </c>
      <c r="GA358" s="3">
        <f t="shared" si="328"/>
        <v>0</v>
      </c>
      <c r="GB358" s="3">
        <f t="shared" si="328"/>
        <v>0</v>
      </c>
      <c r="GC358" s="3">
        <f t="shared" si="328"/>
        <v>0</v>
      </c>
      <c r="GD358" s="3">
        <f t="shared" si="328"/>
        <v>0</v>
      </c>
      <c r="GE358" s="3">
        <f t="shared" si="328"/>
        <v>0</v>
      </c>
      <c r="GF358" s="3">
        <f t="shared" si="328"/>
        <v>0</v>
      </c>
      <c r="GG358" s="3">
        <f t="shared" si="328"/>
        <v>0</v>
      </c>
      <c r="GH358" s="3">
        <f t="shared" si="328"/>
        <v>0</v>
      </c>
      <c r="GI358" s="3">
        <f t="shared" si="328"/>
        <v>0</v>
      </c>
      <c r="GJ358" s="3">
        <f t="shared" si="328"/>
        <v>0</v>
      </c>
      <c r="GK358" s="3">
        <f t="shared" si="328"/>
        <v>0</v>
      </c>
      <c r="GL358" s="3">
        <f t="shared" si="328"/>
        <v>0</v>
      </c>
      <c r="GM358" s="3">
        <f t="shared" si="328"/>
        <v>0</v>
      </c>
      <c r="GN358" s="3">
        <f t="shared" si="328"/>
        <v>0</v>
      </c>
      <c r="GO358" s="3">
        <f t="shared" si="328"/>
        <v>0</v>
      </c>
      <c r="GP358" s="3">
        <f t="shared" si="328"/>
        <v>0</v>
      </c>
      <c r="GQ358" s="3">
        <f t="shared" si="328"/>
        <v>0</v>
      </c>
      <c r="GR358" s="3">
        <f t="shared" si="328"/>
        <v>0</v>
      </c>
      <c r="GS358" s="3">
        <f t="shared" si="328"/>
        <v>0</v>
      </c>
      <c r="GT358" s="3">
        <f t="shared" si="328"/>
        <v>0</v>
      </c>
      <c r="GU358" s="3">
        <f t="shared" si="328"/>
        <v>0</v>
      </c>
      <c r="GV358" s="3">
        <f t="shared" si="328"/>
        <v>0</v>
      </c>
      <c r="GW358" s="3">
        <f t="shared" si="328"/>
        <v>0</v>
      </c>
      <c r="GX358" s="3">
        <f t="shared" si="328"/>
        <v>0</v>
      </c>
    </row>
    <row r="360" spans="1:245" x14ac:dyDescent="0.2">
      <c r="A360">
        <v>17</v>
      </c>
      <c r="B360">
        <v>1</v>
      </c>
      <c r="D360">
        <f>ROW(EtalonRes!A453)</f>
        <v>453</v>
      </c>
      <c r="E360" t="s">
        <v>607</v>
      </c>
      <c r="F360" t="s">
        <v>608</v>
      </c>
      <c r="G360" t="s">
        <v>609</v>
      </c>
      <c r="H360" t="s">
        <v>428</v>
      </c>
      <c r="I360">
        <v>35.338999999999999</v>
      </c>
      <c r="J360">
        <v>0</v>
      </c>
      <c r="K360">
        <v>35.338999999999999</v>
      </c>
      <c r="O360">
        <f>ROUND(CP360,2)</f>
        <v>3982.63</v>
      </c>
      <c r="P360">
        <f>ROUND((ROUND((AC360*AW360*I360),2)*BC360),2)</f>
        <v>0</v>
      </c>
      <c r="Q360">
        <f>(ROUND((ROUND(((ET360)*AV360*I360),2)*BB360),2)+ROUND((ROUND(((AE360-(EU360))*AV360*I360),2)*BS360),2))</f>
        <v>3982.63</v>
      </c>
      <c r="R360">
        <f>ROUND((ROUND((AE360*AV360*I360),2)*BS360),2)</f>
        <v>1574.23</v>
      </c>
      <c r="S360">
        <f>ROUND((ROUND((AF360*AV360*I360),2)*BA360),2)</f>
        <v>0</v>
      </c>
      <c r="T360">
        <f>ROUND(CU360*I360,2)</f>
        <v>0</v>
      </c>
      <c r="U360">
        <f>CV360*I360</f>
        <v>0</v>
      </c>
      <c r="V360">
        <f>CW360*I360</f>
        <v>0</v>
      </c>
      <c r="W360">
        <f>ROUND(CX360*I360,2)</f>
        <v>0</v>
      </c>
      <c r="X360">
        <f t="shared" ref="X360:Y362" si="329">ROUND(CY360,2)</f>
        <v>0</v>
      </c>
      <c r="Y360">
        <f t="shared" si="329"/>
        <v>0</v>
      </c>
      <c r="AA360">
        <v>53860087</v>
      </c>
      <c r="AB360">
        <f>ROUND((AC360+AD360+AF360),6)</f>
        <v>8.86</v>
      </c>
      <c r="AC360">
        <f>ROUND((ES360),6)</f>
        <v>0</v>
      </c>
      <c r="AD360">
        <f>ROUND((((ET360)-(EU360))+AE360),6)</f>
        <v>8.86</v>
      </c>
      <c r="AE360">
        <f t="shared" ref="AE360:AF362" si="330">ROUND((EU360),6)</f>
        <v>1.48</v>
      </c>
      <c r="AF360">
        <f t="shared" si="330"/>
        <v>0</v>
      </c>
      <c r="AG360">
        <f>ROUND((AP360),6)</f>
        <v>0</v>
      </c>
      <c r="AH360">
        <f t="shared" ref="AH360:AI362" si="331">(EW360)</f>
        <v>0</v>
      </c>
      <c r="AI360">
        <f t="shared" si="331"/>
        <v>0</v>
      </c>
      <c r="AJ360">
        <f>(AS360)</f>
        <v>0</v>
      </c>
      <c r="AK360">
        <v>8.86</v>
      </c>
      <c r="AL360">
        <v>0</v>
      </c>
      <c r="AM360">
        <v>8.86</v>
      </c>
      <c r="AN360">
        <v>1.48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75</v>
      </c>
      <c r="AU360">
        <v>41</v>
      </c>
      <c r="AV360">
        <v>1</v>
      </c>
      <c r="AW360">
        <v>1</v>
      </c>
      <c r="AZ360">
        <v>1</v>
      </c>
      <c r="BA360">
        <v>30.1</v>
      </c>
      <c r="BB360">
        <v>12.72</v>
      </c>
      <c r="BC360">
        <v>1</v>
      </c>
      <c r="BD360" t="s">
        <v>3</v>
      </c>
      <c r="BE360" t="s">
        <v>3</v>
      </c>
      <c r="BF360" t="s">
        <v>3</v>
      </c>
      <c r="BG360" t="s">
        <v>3</v>
      </c>
      <c r="BH360">
        <v>0</v>
      </c>
      <c r="BI360">
        <v>1</v>
      </c>
      <c r="BJ360" t="s">
        <v>610</v>
      </c>
      <c r="BM360">
        <v>658</v>
      </c>
      <c r="BN360">
        <v>36862081</v>
      </c>
      <c r="BO360" t="s">
        <v>608</v>
      </c>
      <c r="BP360">
        <v>1</v>
      </c>
      <c r="BQ360">
        <v>60</v>
      </c>
      <c r="BR360">
        <v>0</v>
      </c>
      <c r="BS360">
        <v>30.1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3</v>
      </c>
      <c r="BZ360">
        <v>75</v>
      </c>
      <c r="CA360">
        <v>41</v>
      </c>
      <c r="CB360" t="s">
        <v>3</v>
      </c>
      <c r="CE360">
        <v>30</v>
      </c>
      <c r="CF360">
        <v>0</v>
      </c>
      <c r="CG360">
        <v>0</v>
      </c>
      <c r="CM360">
        <v>0</v>
      </c>
      <c r="CN360" t="s">
        <v>3</v>
      </c>
      <c r="CO360">
        <v>0</v>
      </c>
      <c r="CP360">
        <f>(P360+Q360+S360)</f>
        <v>3982.63</v>
      </c>
      <c r="CQ360">
        <f>ROUND((ROUND((AC360*AW360*1),2)*BC360),2)</f>
        <v>0</v>
      </c>
      <c r="CR360">
        <f>(ROUND((ROUND(((ET360)*AV360*1),2)*BB360),2)+ROUND((ROUND(((AE360-(EU360))*AV360*1),2)*BS360),2))</f>
        <v>112.7</v>
      </c>
      <c r="CS360">
        <f>ROUND((ROUND((AE360*AV360*1),2)*BS360),2)</f>
        <v>44.55</v>
      </c>
      <c r="CT360">
        <f>ROUND((ROUND((AF360*AV360*1),2)*BA360),2)</f>
        <v>0</v>
      </c>
      <c r="CU360">
        <f>AG360</f>
        <v>0</v>
      </c>
      <c r="CV360">
        <f>(AH360*AV360)</f>
        <v>0</v>
      </c>
      <c r="CW360">
        <f t="shared" ref="CW360:CX362" si="332">AI360</f>
        <v>0</v>
      </c>
      <c r="CX360">
        <f t="shared" si="332"/>
        <v>0</v>
      </c>
      <c r="CY360">
        <f>S360*(BZ360/100)</f>
        <v>0</v>
      </c>
      <c r="CZ360">
        <f>S360*(CA360/100)</f>
        <v>0</v>
      </c>
      <c r="DC360" t="s">
        <v>3</v>
      </c>
      <c r="DD360" t="s">
        <v>3</v>
      </c>
      <c r="DE360" t="s">
        <v>3</v>
      </c>
      <c r="DF360" t="s">
        <v>3</v>
      </c>
      <c r="DG360" t="s">
        <v>3</v>
      </c>
      <c r="DH360" t="s">
        <v>3</v>
      </c>
      <c r="DI360" t="s">
        <v>3</v>
      </c>
      <c r="DJ360" t="s">
        <v>3</v>
      </c>
      <c r="DK360" t="s">
        <v>3</v>
      </c>
      <c r="DL360" t="s">
        <v>3</v>
      </c>
      <c r="DM360" t="s">
        <v>3</v>
      </c>
      <c r="DN360">
        <v>91</v>
      </c>
      <c r="DO360">
        <v>70</v>
      </c>
      <c r="DP360">
        <v>1</v>
      </c>
      <c r="DQ360">
        <v>1</v>
      </c>
      <c r="DU360">
        <v>1013</v>
      </c>
      <c r="DV360" t="s">
        <v>428</v>
      </c>
      <c r="DW360" t="s">
        <v>428</v>
      </c>
      <c r="DX360">
        <v>1</v>
      </c>
      <c r="DZ360" t="s">
        <v>3</v>
      </c>
      <c r="EA360" t="s">
        <v>3</v>
      </c>
      <c r="EB360" t="s">
        <v>3</v>
      </c>
      <c r="EC360" t="s">
        <v>3</v>
      </c>
      <c r="EE360">
        <v>53213407</v>
      </c>
      <c r="EF360">
        <v>60</v>
      </c>
      <c r="EG360" t="s">
        <v>22</v>
      </c>
      <c r="EH360">
        <v>0</v>
      </c>
      <c r="EI360" t="s">
        <v>3</v>
      </c>
      <c r="EJ360">
        <v>1</v>
      </c>
      <c r="EK360">
        <v>658</v>
      </c>
      <c r="EL360" t="s">
        <v>611</v>
      </c>
      <c r="EM360" t="s">
        <v>612</v>
      </c>
      <c r="EO360" t="s">
        <v>3</v>
      </c>
      <c r="EQ360">
        <v>131072</v>
      </c>
      <c r="ER360">
        <v>8.86</v>
      </c>
      <c r="ES360">
        <v>0</v>
      </c>
      <c r="ET360">
        <v>8.86</v>
      </c>
      <c r="EU360">
        <v>1.48</v>
      </c>
      <c r="EV360">
        <v>0</v>
      </c>
      <c r="EW360">
        <v>0</v>
      </c>
      <c r="EX360">
        <v>0</v>
      </c>
      <c r="EY360">
        <v>0</v>
      </c>
      <c r="FQ360">
        <v>0</v>
      </c>
      <c r="FR360">
        <f>ROUND(IF(BI360=3,GM360,0),2)</f>
        <v>0</v>
      </c>
      <c r="FS360">
        <v>0</v>
      </c>
      <c r="FX360">
        <v>91</v>
      </c>
      <c r="FY360">
        <v>70</v>
      </c>
      <c r="GA360" t="s">
        <v>3</v>
      </c>
      <c r="GD360">
        <v>0</v>
      </c>
      <c r="GF360">
        <v>-1983005167</v>
      </c>
      <c r="GG360">
        <v>2</v>
      </c>
      <c r="GH360">
        <v>1</v>
      </c>
      <c r="GI360">
        <v>2</v>
      </c>
      <c r="GJ360">
        <v>0</v>
      </c>
      <c r="GK360">
        <f>ROUND(R360*(R12)/100,2)</f>
        <v>2518.77</v>
      </c>
      <c r="GL360">
        <f>ROUND(IF(AND(BH360=3,BI360=3,FS360&lt;&gt;0),P360,0),2)</f>
        <v>0</v>
      </c>
      <c r="GM360">
        <f>ROUND(O360+X360+Y360+GK360,2)+GX360</f>
        <v>6501.4</v>
      </c>
      <c r="GN360">
        <f>IF(OR(BI360=0,BI360=1),GM360,0)</f>
        <v>6501.4</v>
      </c>
      <c r="GO360">
        <f>IF(BI360=2,GM360,0)</f>
        <v>0</v>
      </c>
      <c r="GP360">
        <f>IF(BI360=4,GM360+GX360,0)</f>
        <v>0</v>
      </c>
      <c r="GR360">
        <v>0</v>
      </c>
      <c r="GS360">
        <v>3</v>
      </c>
      <c r="GT360">
        <v>0</v>
      </c>
      <c r="GU360" t="s">
        <v>3</v>
      </c>
      <c r="GV360">
        <f>ROUND((GT360),6)</f>
        <v>0</v>
      </c>
      <c r="GW360">
        <v>1</v>
      </c>
      <c r="GX360">
        <f>ROUND(HC360*I360,2)</f>
        <v>0</v>
      </c>
      <c r="HA360">
        <v>0</v>
      </c>
      <c r="HB360">
        <v>0</v>
      </c>
      <c r="HC360">
        <f>GV360*GW360</f>
        <v>0</v>
      </c>
      <c r="HE360" t="s">
        <v>3</v>
      </c>
      <c r="HF360" t="s">
        <v>3</v>
      </c>
      <c r="HM360" t="s">
        <v>3</v>
      </c>
      <c r="HN360" t="s">
        <v>3</v>
      </c>
      <c r="HO360" t="s">
        <v>3</v>
      </c>
      <c r="HP360" t="s">
        <v>3</v>
      </c>
      <c r="HQ360" t="s">
        <v>3</v>
      </c>
      <c r="IK360">
        <v>0</v>
      </c>
    </row>
    <row r="361" spans="1:245" x14ac:dyDescent="0.2">
      <c r="A361">
        <v>17</v>
      </c>
      <c r="B361">
        <v>1</v>
      </c>
      <c r="D361">
        <f>ROW(EtalonRes!A454)</f>
        <v>454</v>
      </c>
      <c r="E361" t="s">
        <v>613</v>
      </c>
      <c r="F361" t="s">
        <v>614</v>
      </c>
      <c r="G361" t="s">
        <v>615</v>
      </c>
      <c r="H361" t="s">
        <v>75</v>
      </c>
      <c r="I361">
        <v>35.338999999999999</v>
      </c>
      <c r="J361">
        <v>0</v>
      </c>
      <c r="K361">
        <v>35.338999999999999</v>
      </c>
      <c r="O361">
        <f>ROUND(CP361,2)</f>
        <v>18659.71</v>
      </c>
      <c r="P361">
        <f>ROUND((ROUND((AC361*AW361*I361),2)*BC361),2)</f>
        <v>0</v>
      </c>
      <c r="Q361">
        <f>(ROUND((ROUND(((ET361)*AV361*I361),2)*BB361),2)+ROUND((ROUND(((AE361-(EU361))*AV361*I361),2)*BS361),2))</f>
        <v>18659.71</v>
      </c>
      <c r="R361">
        <f>ROUND((ROUND((AE361*AV361*I361),2)*BS361),2)</f>
        <v>0</v>
      </c>
      <c r="S361">
        <f>ROUND((ROUND((AF361*AV361*I361),2)*BA361),2)</f>
        <v>0</v>
      </c>
      <c r="T361">
        <f>ROUND(CU361*I361,2)</f>
        <v>0</v>
      </c>
      <c r="U361">
        <f>CV361*I361</f>
        <v>0</v>
      </c>
      <c r="V361">
        <f>CW361*I361</f>
        <v>0</v>
      </c>
      <c r="W361">
        <f>ROUND(CX361*I361,2)</f>
        <v>0</v>
      </c>
      <c r="X361">
        <f t="shared" si="329"/>
        <v>0</v>
      </c>
      <c r="Y361">
        <f t="shared" si="329"/>
        <v>0</v>
      </c>
      <c r="AA361">
        <v>53860087</v>
      </c>
      <c r="AB361">
        <f>ROUND((AC361+AD361+AF361),6)</f>
        <v>36.39</v>
      </c>
      <c r="AC361">
        <f>ROUND((ES361),6)</f>
        <v>0</v>
      </c>
      <c r="AD361">
        <f>ROUND((((ET361)-(EU361))+AE361),6)</f>
        <v>36.39</v>
      </c>
      <c r="AE361">
        <f t="shared" si="330"/>
        <v>0</v>
      </c>
      <c r="AF361">
        <f t="shared" si="330"/>
        <v>0</v>
      </c>
      <c r="AG361">
        <f>ROUND((AP361),6)</f>
        <v>0</v>
      </c>
      <c r="AH361">
        <f t="shared" si="331"/>
        <v>0</v>
      </c>
      <c r="AI361">
        <f t="shared" si="331"/>
        <v>0</v>
      </c>
      <c r="AJ361">
        <f>(AS361)</f>
        <v>0</v>
      </c>
      <c r="AK361">
        <v>36.39</v>
      </c>
      <c r="AL361">
        <v>0</v>
      </c>
      <c r="AM361">
        <v>36.39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95</v>
      </c>
      <c r="AU361">
        <v>65</v>
      </c>
      <c r="AV361">
        <v>1</v>
      </c>
      <c r="AW361">
        <v>1</v>
      </c>
      <c r="AZ361">
        <v>1</v>
      </c>
      <c r="BA361">
        <v>1</v>
      </c>
      <c r="BB361">
        <v>14.51</v>
      </c>
      <c r="BC361">
        <v>1</v>
      </c>
      <c r="BD361" t="s">
        <v>3</v>
      </c>
      <c r="BE361" t="s">
        <v>3</v>
      </c>
      <c r="BF361" t="s">
        <v>3</v>
      </c>
      <c r="BG361" t="s">
        <v>3</v>
      </c>
      <c r="BH361">
        <v>0</v>
      </c>
      <c r="BI361">
        <v>4</v>
      </c>
      <c r="BJ361" t="s">
        <v>616</v>
      </c>
      <c r="BM361">
        <v>1113</v>
      </c>
      <c r="BN361">
        <v>36862081</v>
      </c>
      <c r="BO361" t="s">
        <v>614</v>
      </c>
      <c r="BP361">
        <v>1</v>
      </c>
      <c r="BQ361">
        <v>150</v>
      </c>
      <c r="BR361">
        <v>0</v>
      </c>
      <c r="BS361">
        <v>1</v>
      </c>
      <c r="BT361">
        <v>1</v>
      </c>
      <c r="BU361">
        <v>1</v>
      </c>
      <c r="BV361">
        <v>1</v>
      </c>
      <c r="BW361">
        <v>1</v>
      </c>
      <c r="BX361">
        <v>1</v>
      </c>
      <c r="BY361" t="s">
        <v>3</v>
      </c>
      <c r="BZ361">
        <v>95</v>
      </c>
      <c r="CA361">
        <v>65</v>
      </c>
      <c r="CB361" t="s">
        <v>3</v>
      </c>
      <c r="CE361">
        <v>30</v>
      </c>
      <c r="CF361">
        <v>0</v>
      </c>
      <c r="CG361">
        <v>0</v>
      </c>
      <c r="CM361">
        <v>0</v>
      </c>
      <c r="CN361" t="s">
        <v>3</v>
      </c>
      <c r="CO361">
        <v>0</v>
      </c>
      <c r="CP361">
        <f>(P361+Q361+S361)</f>
        <v>18659.71</v>
      </c>
      <c r="CQ361">
        <f>ROUND((ROUND((AC361*AW361*1),2)*BC361),2)</f>
        <v>0</v>
      </c>
      <c r="CR361">
        <f>(ROUND((ROUND(((ET361)*AV361*1),2)*BB361),2)+ROUND((ROUND(((AE361-(EU361))*AV361*1),2)*BS361),2))</f>
        <v>528.02</v>
      </c>
      <c r="CS361">
        <f>ROUND((ROUND((AE361*AV361*1),2)*BS361),2)</f>
        <v>0</v>
      </c>
      <c r="CT361">
        <f>ROUND((ROUND((AF361*AV361*1),2)*BA361),2)</f>
        <v>0</v>
      </c>
      <c r="CU361">
        <f>AG361</f>
        <v>0</v>
      </c>
      <c r="CV361">
        <f>(AH361*AV361)</f>
        <v>0</v>
      </c>
      <c r="CW361">
        <f t="shared" si="332"/>
        <v>0</v>
      </c>
      <c r="CX361">
        <f t="shared" si="332"/>
        <v>0</v>
      </c>
      <c r="CY361">
        <f>S361*(BZ361/100)</f>
        <v>0</v>
      </c>
      <c r="CZ361">
        <f>S361*(CA361/100)</f>
        <v>0</v>
      </c>
      <c r="DC361" t="s">
        <v>3</v>
      </c>
      <c r="DD361" t="s">
        <v>3</v>
      </c>
      <c r="DE361" t="s">
        <v>3</v>
      </c>
      <c r="DF361" t="s">
        <v>3</v>
      </c>
      <c r="DG361" t="s">
        <v>3</v>
      </c>
      <c r="DH361" t="s">
        <v>3</v>
      </c>
      <c r="DI361" t="s">
        <v>3</v>
      </c>
      <c r="DJ361" t="s">
        <v>3</v>
      </c>
      <c r="DK361" t="s">
        <v>3</v>
      </c>
      <c r="DL361" t="s">
        <v>3</v>
      </c>
      <c r="DM361" t="s">
        <v>3</v>
      </c>
      <c r="DN361">
        <v>0</v>
      </c>
      <c r="DO361">
        <v>0</v>
      </c>
      <c r="DP361">
        <v>1</v>
      </c>
      <c r="DQ361">
        <v>1</v>
      </c>
      <c r="DU361">
        <v>1009</v>
      </c>
      <c r="DV361" t="s">
        <v>75</v>
      </c>
      <c r="DW361" t="s">
        <v>75</v>
      </c>
      <c r="DX361">
        <v>1000</v>
      </c>
      <c r="DZ361" t="s">
        <v>3</v>
      </c>
      <c r="EA361" t="s">
        <v>3</v>
      </c>
      <c r="EB361" t="s">
        <v>3</v>
      </c>
      <c r="EC361" t="s">
        <v>3</v>
      </c>
      <c r="EE361">
        <v>53213862</v>
      </c>
      <c r="EF361">
        <v>150</v>
      </c>
      <c r="EG361" t="s">
        <v>617</v>
      </c>
      <c r="EH361">
        <v>0</v>
      </c>
      <c r="EI361" t="s">
        <v>3</v>
      </c>
      <c r="EJ361">
        <v>4</v>
      </c>
      <c r="EK361">
        <v>1113</v>
      </c>
      <c r="EL361" t="s">
        <v>618</v>
      </c>
      <c r="EM361" t="s">
        <v>619</v>
      </c>
      <c r="EO361" t="s">
        <v>3</v>
      </c>
      <c r="EQ361">
        <v>131072</v>
      </c>
      <c r="ER361">
        <v>36.39</v>
      </c>
      <c r="ES361">
        <v>0</v>
      </c>
      <c r="ET361">
        <v>36.39</v>
      </c>
      <c r="EU361">
        <v>0</v>
      </c>
      <c r="EV361">
        <v>0</v>
      </c>
      <c r="EW361">
        <v>0</v>
      </c>
      <c r="EX361">
        <v>0</v>
      </c>
      <c r="EY361">
        <v>0</v>
      </c>
      <c r="FQ361">
        <v>0</v>
      </c>
      <c r="FR361">
        <f>ROUND(IF(BI361=3,GM361,0),2)</f>
        <v>0</v>
      </c>
      <c r="FS361">
        <v>0</v>
      </c>
      <c r="FX361">
        <v>0</v>
      </c>
      <c r="FY361">
        <v>0</v>
      </c>
      <c r="GA361" t="s">
        <v>3</v>
      </c>
      <c r="GD361">
        <v>0</v>
      </c>
      <c r="GF361">
        <v>1483910279</v>
      </c>
      <c r="GG361">
        <v>2</v>
      </c>
      <c r="GH361">
        <v>1</v>
      </c>
      <c r="GI361">
        <v>2</v>
      </c>
      <c r="GJ361">
        <v>0</v>
      </c>
      <c r="GK361">
        <f>ROUND(R361*(R12)/100,2)</f>
        <v>0</v>
      </c>
      <c r="GL361">
        <f>ROUND(IF(AND(BH361=3,BI361=3,FS361&lt;&gt;0),P361,0),2)</f>
        <v>0</v>
      </c>
      <c r="GM361">
        <f>ROUND(O361+X361+Y361+GK361,2)+GX361</f>
        <v>18659.71</v>
      </c>
      <c r="GN361">
        <f>IF(OR(BI361=0,BI361=1),GM361,0)</f>
        <v>0</v>
      </c>
      <c r="GO361">
        <f>IF(BI361=2,GM361,0)</f>
        <v>0</v>
      </c>
      <c r="GP361">
        <f>IF(BI361=4,GM361+GX361,0)</f>
        <v>18659.71</v>
      </c>
      <c r="GR361">
        <v>0</v>
      </c>
      <c r="GS361">
        <v>3</v>
      </c>
      <c r="GT361">
        <v>0</v>
      </c>
      <c r="GU361" t="s">
        <v>3</v>
      </c>
      <c r="GV361">
        <f>ROUND((GT361),6)</f>
        <v>0</v>
      </c>
      <c r="GW361">
        <v>1</v>
      </c>
      <c r="GX361">
        <f>ROUND(HC361*I361,2)</f>
        <v>0</v>
      </c>
      <c r="HA361">
        <v>0</v>
      </c>
      <c r="HB361">
        <v>0</v>
      </c>
      <c r="HC361">
        <f>GV361*GW361</f>
        <v>0</v>
      </c>
      <c r="HE361" t="s">
        <v>3</v>
      </c>
      <c r="HF361" t="s">
        <v>3</v>
      </c>
      <c r="HM361" t="s">
        <v>3</v>
      </c>
      <c r="HN361" t="s">
        <v>3</v>
      </c>
      <c r="HO361" t="s">
        <v>3</v>
      </c>
      <c r="HP361" t="s">
        <v>3</v>
      </c>
      <c r="HQ361" t="s">
        <v>3</v>
      </c>
      <c r="IK361">
        <v>0</v>
      </c>
    </row>
    <row r="362" spans="1:245" x14ac:dyDescent="0.2">
      <c r="A362">
        <v>17</v>
      </c>
      <c r="B362">
        <v>1</v>
      </c>
      <c r="D362">
        <f>ROW(EtalonRes!A455)</f>
        <v>455</v>
      </c>
      <c r="E362" t="s">
        <v>620</v>
      </c>
      <c r="F362" t="s">
        <v>621</v>
      </c>
      <c r="G362" t="s">
        <v>622</v>
      </c>
      <c r="H362" t="s">
        <v>428</v>
      </c>
      <c r="I362">
        <v>35.338999999999999</v>
      </c>
      <c r="J362">
        <v>0</v>
      </c>
      <c r="K362">
        <v>35.338999999999999</v>
      </c>
      <c r="O362">
        <f>ROUND(CP362,2)</f>
        <v>48539.27</v>
      </c>
      <c r="P362">
        <f>ROUND((ROUND((AC362*AW362*I362),2)*BC362),2)</f>
        <v>0</v>
      </c>
      <c r="Q362">
        <f>(ROUND((ROUND(((ET362)*AV362*I362),2)*BB362),2)+ROUND((ROUND(((AE362-(EU362))*AV362*I362),2)*BS362),2))</f>
        <v>48539.27</v>
      </c>
      <c r="R362">
        <f>ROUND((ROUND((AE362*AV362*I362),2)*BS362),2)</f>
        <v>0</v>
      </c>
      <c r="S362">
        <f>ROUND((ROUND((AF362*AV362*I362),2)*BA362),2)</f>
        <v>0</v>
      </c>
      <c r="T362">
        <f>ROUND(CU362*I362,2)</f>
        <v>0</v>
      </c>
      <c r="U362">
        <f>CV362*I362</f>
        <v>0</v>
      </c>
      <c r="V362">
        <f>CW362*I362</f>
        <v>0</v>
      </c>
      <c r="W362">
        <f>ROUND(CX362*I362,2)</f>
        <v>0</v>
      </c>
      <c r="X362">
        <f t="shared" si="329"/>
        <v>0</v>
      </c>
      <c r="Y362">
        <f t="shared" si="329"/>
        <v>0</v>
      </c>
      <c r="AA362">
        <v>53860087</v>
      </c>
      <c r="AB362">
        <f>ROUND((AC362+AD362+AF362),6)</f>
        <v>31.67</v>
      </c>
      <c r="AC362">
        <f>ROUND((ES362),6)</f>
        <v>0</v>
      </c>
      <c r="AD362">
        <f>ROUND((((ET362)-(EU362))+AE362),6)</f>
        <v>31.67</v>
      </c>
      <c r="AE362">
        <f t="shared" si="330"/>
        <v>0</v>
      </c>
      <c r="AF362">
        <f t="shared" si="330"/>
        <v>0</v>
      </c>
      <c r="AG362">
        <f>ROUND((AP362),6)</f>
        <v>0</v>
      </c>
      <c r="AH362">
        <f t="shared" si="331"/>
        <v>0</v>
      </c>
      <c r="AI362">
        <f t="shared" si="331"/>
        <v>0</v>
      </c>
      <c r="AJ362">
        <f>(AS362)</f>
        <v>0</v>
      </c>
      <c r="AK362">
        <v>31.67</v>
      </c>
      <c r="AL362">
        <v>0</v>
      </c>
      <c r="AM362">
        <v>31.67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95</v>
      </c>
      <c r="AU362">
        <v>65</v>
      </c>
      <c r="AV362">
        <v>1</v>
      </c>
      <c r="AW362">
        <v>1</v>
      </c>
      <c r="AZ362">
        <v>1</v>
      </c>
      <c r="BA362">
        <v>1</v>
      </c>
      <c r="BB362">
        <v>43.37</v>
      </c>
      <c r="BC362">
        <v>1</v>
      </c>
      <c r="BD362" t="s">
        <v>3</v>
      </c>
      <c r="BE362" t="s">
        <v>3</v>
      </c>
      <c r="BF362" t="s">
        <v>3</v>
      </c>
      <c r="BG362" t="s">
        <v>3</v>
      </c>
      <c r="BH362">
        <v>0</v>
      </c>
      <c r="BI362">
        <v>4</v>
      </c>
      <c r="BJ362" t="s">
        <v>623</v>
      </c>
      <c r="BM362">
        <v>1113</v>
      </c>
      <c r="BN362">
        <v>36862081</v>
      </c>
      <c r="BO362" t="s">
        <v>621</v>
      </c>
      <c r="BP362">
        <v>1</v>
      </c>
      <c r="BQ362">
        <v>150</v>
      </c>
      <c r="BR362">
        <v>0</v>
      </c>
      <c r="BS362">
        <v>1</v>
      </c>
      <c r="BT362">
        <v>1</v>
      </c>
      <c r="BU362">
        <v>1</v>
      </c>
      <c r="BV362">
        <v>1</v>
      </c>
      <c r="BW362">
        <v>1</v>
      </c>
      <c r="BX362">
        <v>1</v>
      </c>
      <c r="BY362" t="s">
        <v>3</v>
      </c>
      <c r="BZ362">
        <v>95</v>
      </c>
      <c r="CA362">
        <v>65</v>
      </c>
      <c r="CB362" t="s">
        <v>3</v>
      </c>
      <c r="CE362">
        <v>30</v>
      </c>
      <c r="CF362">
        <v>0</v>
      </c>
      <c r="CG362">
        <v>0</v>
      </c>
      <c r="CM362">
        <v>0</v>
      </c>
      <c r="CN362" t="s">
        <v>3</v>
      </c>
      <c r="CO362">
        <v>0</v>
      </c>
      <c r="CP362">
        <f>(P362+Q362+S362)</f>
        <v>48539.27</v>
      </c>
      <c r="CQ362">
        <f>ROUND((ROUND((AC362*AW362*1),2)*BC362),2)</f>
        <v>0</v>
      </c>
      <c r="CR362">
        <f>(ROUND((ROUND(((ET362)*AV362*1),2)*BB362),2)+ROUND((ROUND(((AE362-(EU362))*AV362*1),2)*BS362),2))</f>
        <v>1373.53</v>
      </c>
      <c r="CS362">
        <f>ROUND((ROUND((AE362*AV362*1),2)*BS362),2)</f>
        <v>0</v>
      </c>
      <c r="CT362">
        <f>ROUND((ROUND((AF362*AV362*1),2)*BA362),2)</f>
        <v>0</v>
      </c>
      <c r="CU362">
        <f>AG362</f>
        <v>0</v>
      </c>
      <c r="CV362">
        <f>(AH362*AV362)</f>
        <v>0</v>
      </c>
      <c r="CW362">
        <f t="shared" si="332"/>
        <v>0</v>
      </c>
      <c r="CX362">
        <f t="shared" si="332"/>
        <v>0</v>
      </c>
      <c r="CY362">
        <f>S362*(BZ362/100)</f>
        <v>0</v>
      </c>
      <c r="CZ362">
        <f>S362*(CA362/100)</f>
        <v>0</v>
      </c>
      <c r="DC362" t="s">
        <v>3</v>
      </c>
      <c r="DD362" t="s">
        <v>3</v>
      </c>
      <c r="DE362" t="s">
        <v>3</v>
      </c>
      <c r="DF362" t="s">
        <v>3</v>
      </c>
      <c r="DG362" t="s">
        <v>3</v>
      </c>
      <c r="DH362" t="s">
        <v>3</v>
      </c>
      <c r="DI362" t="s">
        <v>3</v>
      </c>
      <c r="DJ362" t="s">
        <v>3</v>
      </c>
      <c r="DK362" t="s">
        <v>3</v>
      </c>
      <c r="DL362" t="s">
        <v>3</v>
      </c>
      <c r="DM362" t="s">
        <v>3</v>
      </c>
      <c r="DN362">
        <v>0</v>
      </c>
      <c r="DO362">
        <v>0</v>
      </c>
      <c r="DP362">
        <v>1</v>
      </c>
      <c r="DQ362">
        <v>1</v>
      </c>
      <c r="DU362">
        <v>1013</v>
      </c>
      <c r="DV362" t="s">
        <v>428</v>
      </c>
      <c r="DW362" t="s">
        <v>428</v>
      </c>
      <c r="DX362">
        <v>1</v>
      </c>
      <c r="DZ362" t="s">
        <v>3</v>
      </c>
      <c r="EA362" t="s">
        <v>3</v>
      </c>
      <c r="EB362" t="s">
        <v>3</v>
      </c>
      <c r="EC362" t="s">
        <v>3</v>
      </c>
      <c r="EE362">
        <v>53213862</v>
      </c>
      <c r="EF362">
        <v>150</v>
      </c>
      <c r="EG362" t="s">
        <v>617</v>
      </c>
      <c r="EH362">
        <v>0</v>
      </c>
      <c r="EI362" t="s">
        <v>3</v>
      </c>
      <c r="EJ362">
        <v>4</v>
      </c>
      <c r="EK362">
        <v>1113</v>
      </c>
      <c r="EL362" t="s">
        <v>618</v>
      </c>
      <c r="EM362" t="s">
        <v>619</v>
      </c>
      <c r="EO362" t="s">
        <v>3</v>
      </c>
      <c r="EQ362">
        <v>131072</v>
      </c>
      <c r="ER362">
        <v>31.67</v>
      </c>
      <c r="ES362">
        <v>0</v>
      </c>
      <c r="ET362">
        <v>31.67</v>
      </c>
      <c r="EU362">
        <v>0</v>
      </c>
      <c r="EV362">
        <v>0</v>
      </c>
      <c r="EW362">
        <v>0</v>
      </c>
      <c r="EX362">
        <v>0</v>
      </c>
      <c r="EY362">
        <v>0</v>
      </c>
      <c r="FQ362">
        <v>0</v>
      </c>
      <c r="FR362">
        <f>ROUND(IF(BI362=3,GM362,0),2)</f>
        <v>0</v>
      </c>
      <c r="FS362">
        <v>0</v>
      </c>
      <c r="FX362">
        <v>0</v>
      </c>
      <c r="FY362">
        <v>0</v>
      </c>
      <c r="GA362" t="s">
        <v>3</v>
      </c>
      <c r="GD362">
        <v>0</v>
      </c>
      <c r="GF362">
        <v>-228259164</v>
      </c>
      <c r="GG362">
        <v>2</v>
      </c>
      <c r="GH362">
        <v>1</v>
      </c>
      <c r="GI362">
        <v>2</v>
      </c>
      <c r="GJ362">
        <v>0</v>
      </c>
      <c r="GK362">
        <f>ROUND(R362*(R12)/100,2)</f>
        <v>0</v>
      </c>
      <c r="GL362">
        <f>ROUND(IF(AND(BH362=3,BI362=3,FS362&lt;&gt;0),P362,0),2)</f>
        <v>0</v>
      </c>
      <c r="GM362">
        <f>ROUND(O362+X362+Y362+GK362,2)+GX362</f>
        <v>48539.27</v>
      </c>
      <c r="GN362">
        <f>IF(OR(BI362=0,BI362=1),GM362,0)</f>
        <v>0</v>
      </c>
      <c r="GO362">
        <f>IF(BI362=2,GM362,0)</f>
        <v>0</v>
      </c>
      <c r="GP362">
        <f>IF(BI362=4,GM362+GX362,0)</f>
        <v>48539.27</v>
      </c>
      <c r="GR362">
        <v>0</v>
      </c>
      <c r="GS362">
        <v>3</v>
      </c>
      <c r="GT362">
        <v>0</v>
      </c>
      <c r="GU362" t="s">
        <v>3</v>
      </c>
      <c r="GV362">
        <f>ROUND((GT362),6)</f>
        <v>0</v>
      </c>
      <c r="GW362">
        <v>1</v>
      </c>
      <c r="GX362">
        <f>ROUND(HC362*I362,2)</f>
        <v>0</v>
      </c>
      <c r="HA362">
        <v>0</v>
      </c>
      <c r="HB362">
        <v>0</v>
      </c>
      <c r="HC362">
        <f>GV362*GW362</f>
        <v>0</v>
      </c>
      <c r="HE362" t="s">
        <v>3</v>
      </c>
      <c r="HF362" t="s">
        <v>3</v>
      </c>
      <c r="HM362" t="s">
        <v>3</v>
      </c>
      <c r="HN362" t="s">
        <v>3</v>
      </c>
      <c r="HO362" t="s">
        <v>3</v>
      </c>
      <c r="HP362" t="s">
        <v>3</v>
      </c>
      <c r="HQ362" t="s">
        <v>3</v>
      </c>
      <c r="IK362">
        <v>0</v>
      </c>
    </row>
    <row r="364" spans="1:245" x14ac:dyDescent="0.2">
      <c r="A364" s="2">
        <v>51</v>
      </c>
      <c r="B364" s="2">
        <f>B356</f>
        <v>1</v>
      </c>
      <c r="C364" s="2">
        <f>A356</f>
        <v>4</v>
      </c>
      <c r="D364" s="2">
        <f>ROW(A356)</f>
        <v>356</v>
      </c>
      <c r="E364" s="2"/>
      <c r="F364" s="2" t="str">
        <f>IF(F356&lt;&gt;"",F356,"")</f>
        <v>Новый раздел</v>
      </c>
      <c r="G364" s="2" t="str">
        <f>IF(G356&lt;&gt;"",G356,"")</f>
        <v>Вывоз мусора</v>
      </c>
      <c r="H364" s="2">
        <v>0</v>
      </c>
      <c r="I364" s="2"/>
      <c r="J364" s="2"/>
      <c r="K364" s="2"/>
      <c r="L364" s="2"/>
      <c r="M364" s="2"/>
      <c r="N364" s="2"/>
      <c r="O364" s="2">
        <f t="shared" ref="O364:T364" si="333">ROUND(AB364,2)</f>
        <v>71181.61</v>
      </c>
      <c r="P364" s="2">
        <f t="shared" si="333"/>
        <v>0</v>
      </c>
      <c r="Q364" s="2">
        <f t="shared" si="333"/>
        <v>71181.61</v>
      </c>
      <c r="R364" s="2">
        <f t="shared" si="333"/>
        <v>1574.23</v>
      </c>
      <c r="S364" s="2">
        <f t="shared" si="333"/>
        <v>0</v>
      </c>
      <c r="T364" s="2">
        <f t="shared" si="333"/>
        <v>0</v>
      </c>
      <c r="U364" s="2">
        <f>AH364</f>
        <v>0</v>
      </c>
      <c r="V364" s="2">
        <f>AI364</f>
        <v>0</v>
      </c>
      <c r="W364" s="2">
        <f>ROUND(AJ364,2)</f>
        <v>0</v>
      </c>
      <c r="X364" s="2">
        <f>ROUND(AK364,2)</f>
        <v>0</v>
      </c>
      <c r="Y364" s="2">
        <f>ROUND(AL364,2)</f>
        <v>0</v>
      </c>
      <c r="Z364" s="2"/>
      <c r="AA364" s="2"/>
      <c r="AB364" s="2">
        <f>ROUND(SUMIF(AA360:AA362,"=53860087",O360:O362),2)</f>
        <v>71181.61</v>
      </c>
      <c r="AC364" s="2">
        <f>ROUND(SUMIF(AA360:AA362,"=53860087",P360:P362),2)</f>
        <v>0</v>
      </c>
      <c r="AD364" s="2">
        <f>ROUND(SUMIF(AA360:AA362,"=53860087",Q360:Q362),2)</f>
        <v>71181.61</v>
      </c>
      <c r="AE364" s="2">
        <f>ROUND(SUMIF(AA360:AA362,"=53860087",R360:R362),2)</f>
        <v>1574.23</v>
      </c>
      <c r="AF364" s="2">
        <f>ROUND(SUMIF(AA360:AA362,"=53860087",S360:S362),2)</f>
        <v>0</v>
      </c>
      <c r="AG364" s="2">
        <f>ROUND(SUMIF(AA360:AA362,"=53860087",T360:T362),2)</f>
        <v>0</v>
      </c>
      <c r="AH364" s="2">
        <f>SUMIF(AA360:AA362,"=53860087",U360:U362)</f>
        <v>0</v>
      </c>
      <c r="AI364" s="2">
        <f>SUMIF(AA360:AA362,"=53860087",V360:V362)</f>
        <v>0</v>
      </c>
      <c r="AJ364" s="2">
        <f>ROUND(SUMIF(AA360:AA362,"=53860087",W360:W362),2)</f>
        <v>0</v>
      </c>
      <c r="AK364" s="2">
        <f>ROUND(SUMIF(AA360:AA362,"=53860087",X360:X362),2)</f>
        <v>0</v>
      </c>
      <c r="AL364" s="2">
        <f>ROUND(SUMIF(AA360:AA362,"=53860087",Y360:Y362),2)</f>
        <v>0</v>
      </c>
      <c r="AM364" s="2"/>
      <c r="AN364" s="2"/>
      <c r="AO364" s="2">
        <f t="shared" ref="AO364:BD364" si="334">ROUND(BX364,2)</f>
        <v>0</v>
      </c>
      <c r="AP364" s="2">
        <f t="shared" si="334"/>
        <v>0</v>
      </c>
      <c r="AQ364" s="2">
        <f t="shared" si="334"/>
        <v>0</v>
      </c>
      <c r="AR364" s="2">
        <f t="shared" si="334"/>
        <v>73700.38</v>
      </c>
      <c r="AS364" s="2">
        <f t="shared" si="334"/>
        <v>6501.4</v>
      </c>
      <c r="AT364" s="2">
        <f t="shared" si="334"/>
        <v>0</v>
      </c>
      <c r="AU364" s="2">
        <f t="shared" si="334"/>
        <v>67198.98</v>
      </c>
      <c r="AV364" s="2">
        <f t="shared" si="334"/>
        <v>0</v>
      </c>
      <c r="AW364" s="2">
        <f t="shared" si="334"/>
        <v>0</v>
      </c>
      <c r="AX364" s="2">
        <f t="shared" si="334"/>
        <v>0</v>
      </c>
      <c r="AY364" s="2">
        <f t="shared" si="334"/>
        <v>0</v>
      </c>
      <c r="AZ364" s="2">
        <f t="shared" si="334"/>
        <v>0</v>
      </c>
      <c r="BA364" s="2">
        <f t="shared" si="334"/>
        <v>0</v>
      </c>
      <c r="BB364" s="2">
        <f t="shared" si="334"/>
        <v>0</v>
      </c>
      <c r="BC364" s="2">
        <f t="shared" si="334"/>
        <v>0</v>
      </c>
      <c r="BD364" s="2">
        <f t="shared" si="334"/>
        <v>0</v>
      </c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>
        <f>ROUND(SUMIF(AA360:AA362,"=53860087",FQ360:FQ362),2)</f>
        <v>0</v>
      </c>
      <c r="BY364" s="2">
        <f>ROUND(SUMIF(AA360:AA362,"=53860087",FR360:FR362),2)</f>
        <v>0</v>
      </c>
      <c r="BZ364" s="2">
        <f>ROUND(SUMIF(AA360:AA362,"=53860087",GL360:GL362),2)</f>
        <v>0</v>
      </c>
      <c r="CA364" s="2">
        <f>ROUND(SUMIF(AA360:AA362,"=53860087",GM360:GM362),2)</f>
        <v>73700.38</v>
      </c>
      <c r="CB364" s="2">
        <f>ROUND(SUMIF(AA360:AA362,"=53860087",GN360:GN362),2)</f>
        <v>6501.4</v>
      </c>
      <c r="CC364" s="2">
        <f>ROUND(SUMIF(AA360:AA362,"=53860087",GO360:GO362),2)</f>
        <v>0</v>
      </c>
      <c r="CD364" s="2">
        <f>ROUND(SUMIF(AA360:AA362,"=53860087",GP360:GP362),2)</f>
        <v>67198.98</v>
      </c>
      <c r="CE364" s="2">
        <f>AC364-BX364</f>
        <v>0</v>
      </c>
      <c r="CF364" s="2">
        <f>AC364-BY364</f>
        <v>0</v>
      </c>
      <c r="CG364" s="2">
        <f>BX364-BZ364</f>
        <v>0</v>
      </c>
      <c r="CH364" s="2">
        <f>AC364-BX364-BY364+BZ364</f>
        <v>0</v>
      </c>
      <c r="CI364" s="2">
        <f>BY364-BZ364</f>
        <v>0</v>
      </c>
      <c r="CJ364" s="2">
        <f>ROUND(SUMIF(AA360:AA362,"=53860087",GX360:GX362),2)</f>
        <v>0</v>
      </c>
      <c r="CK364" s="2">
        <f>ROUND(SUMIF(AA360:AA362,"=53860087",GY360:GY362),2)</f>
        <v>0</v>
      </c>
      <c r="CL364" s="2">
        <f>ROUND(SUMIF(AA360:AA362,"=53860087",GZ360:GZ362),2)</f>
        <v>0</v>
      </c>
      <c r="CM364" s="2">
        <f>ROUND(SUMIF(AA360:AA362,"=53860087",HD360:HD362),2)</f>
        <v>0</v>
      </c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3"/>
      <c r="DH364" s="3"/>
      <c r="DI364" s="3"/>
      <c r="DJ364" s="3"/>
      <c r="DK364" s="3"/>
      <c r="DL364" s="3"/>
      <c r="DM364" s="3"/>
      <c r="DN364" s="3"/>
      <c r="DO364" s="3"/>
      <c r="DP364" s="3"/>
      <c r="DQ364" s="3"/>
      <c r="DR364" s="3"/>
      <c r="DS364" s="3"/>
      <c r="DT364" s="3"/>
      <c r="DU364" s="3"/>
      <c r="DV364" s="3"/>
      <c r="DW364" s="3"/>
      <c r="DX364" s="3"/>
      <c r="DY364" s="3"/>
      <c r="DZ364" s="3"/>
      <c r="EA364" s="3"/>
      <c r="EB364" s="3"/>
      <c r="EC364" s="3"/>
      <c r="ED364" s="3"/>
      <c r="EE364" s="3"/>
      <c r="EF364" s="3"/>
      <c r="EG364" s="3"/>
      <c r="EH364" s="3"/>
      <c r="EI364" s="3"/>
      <c r="EJ364" s="3"/>
      <c r="EK364" s="3"/>
      <c r="EL364" s="3"/>
      <c r="EM364" s="3"/>
      <c r="EN364" s="3"/>
      <c r="EO364" s="3"/>
      <c r="EP364" s="3"/>
      <c r="EQ364" s="3"/>
      <c r="ER364" s="3"/>
      <c r="ES364" s="3"/>
      <c r="ET364" s="3"/>
      <c r="EU364" s="3"/>
      <c r="EV364" s="3"/>
      <c r="EW364" s="3"/>
      <c r="EX364" s="3"/>
      <c r="EY364" s="3"/>
      <c r="EZ364" s="3"/>
      <c r="FA364" s="3"/>
      <c r="FB364" s="3"/>
      <c r="FC364" s="3"/>
      <c r="FD364" s="3"/>
      <c r="FE364" s="3"/>
      <c r="FF364" s="3"/>
      <c r="FG364" s="3"/>
      <c r="FH364" s="3"/>
      <c r="FI364" s="3"/>
      <c r="FJ364" s="3"/>
      <c r="FK364" s="3"/>
      <c r="FL364" s="3"/>
      <c r="FM364" s="3"/>
      <c r="FN364" s="3"/>
      <c r="FO364" s="3"/>
      <c r="FP364" s="3"/>
      <c r="FQ364" s="3"/>
      <c r="FR364" s="3"/>
      <c r="FS364" s="3"/>
      <c r="FT364" s="3"/>
      <c r="FU364" s="3"/>
      <c r="FV364" s="3"/>
      <c r="FW364" s="3"/>
      <c r="FX364" s="3"/>
      <c r="FY364" s="3"/>
      <c r="FZ364" s="3"/>
      <c r="GA364" s="3"/>
      <c r="GB364" s="3"/>
      <c r="GC364" s="3"/>
      <c r="GD364" s="3"/>
      <c r="GE364" s="3"/>
      <c r="GF364" s="3"/>
      <c r="GG364" s="3"/>
      <c r="GH364" s="3"/>
      <c r="GI364" s="3"/>
      <c r="GJ364" s="3"/>
      <c r="GK364" s="3"/>
      <c r="GL364" s="3"/>
      <c r="GM364" s="3"/>
      <c r="GN364" s="3"/>
      <c r="GO364" s="3"/>
      <c r="GP364" s="3"/>
      <c r="GQ364" s="3"/>
      <c r="GR364" s="3"/>
      <c r="GS364" s="3"/>
      <c r="GT364" s="3"/>
      <c r="GU364" s="3"/>
      <c r="GV364" s="3"/>
      <c r="GW364" s="3"/>
      <c r="GX364" s="3">
        <v>0</v>
      </c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201</v>
      </c>
      <c r="F366" s="4">
        <f>ROUND(Source!O364,O366)</f>
        <v>71181.61</v>
      </c>
      <c r="G366" s="4" t="s">
        <v>159</v>
      </c>
      <c r="H366" s="4" t="s">
        <v>160</v>
      </c>
      <c r="I366" s="4"/>
      <c r="J366" s="4"/>
      <c r="K366" s="4">
        <v>201</v>
      </c>
      <c r="L366" s="4">
        <v>1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71181.61</v>
      </c>
      <c r="X366" s="4">
        <v>1</v>
      </c>
      <c r="Y366" s="4">
        <v>71181.61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202</v>
      </c>
      <c r="F367" s="4">
        <f>ROUND(Source!P364,O367)</f>
        <v>0</v>
      </c>
      <c r="G367" s="4" t="s">
        <v>161</v>
      </c>
      <c r="H367" s="4" t="s">
        <v>162</v>
      </c>
      <c r="I367" s="4"/>
      <c r="J367" s="4"/>
      <c r="K367" s="4">
        <v>202</v>
      </c>
      <c r="L367" s="4">
        <v>2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222</v>
      </c>
      <c r="F368" s="4">
        <f>ROUND(Source!AO364,O368)</f>
        <v>0</v>
      </c>
      <c r="G368" s="4" t="s">
        <v>163</v>
      </c>
      <c r="H368" s="4" t="s">
        <v>164</v>
      </c>
      <c r="I368" s="4"/>
      <c r="J368" s="4"/>
      <c r="K368" s="4">
        <v>222</v>
      </c>
      <c r="L368" s="4">
        <v>3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225</v>
      </c>
      <c r="F369" s="4">
        <f>ROUND(Source!AV364,O369)</f>
        <v>0</v>
      </c>
      <c r="G369" s="4" t="s">
        <v>165</v>
      </c>
      <c r="H369" s="4" t="s">
        <v>166</v>
      </c>
      <c r="I369" s="4"/>
      <c r="J369" s="4"/>
      <c r="K369" s="4">
        <v>225</v>
      </c>
      <c r="L369" s="4">
        <v>4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226</v>
      </c>
      <c r="F370" s="4">
        <f>ROUND(Source!AW364,O370)</f>
        <v>0</v>
      </c>
      <c r="G370" s="4" t="s">
        <v>167</v>
      </c>
      <c r="H370" s="4" t="s">
        <v>168</v>
      </c>
      <c r="I370" s="4"/>
      <c r="J370" s="4"/>
      <c r="K370" s="4">
        <v>226</v>
      </c>
      <c r="L370" s="4">
        <v>5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227</v>
      </c>
      <c r="F371" s="4">
        <f>ROUND(Source!AX364,O371)</f>
        <v>0</v>
      </c>
      <c r="G371" s="4" t="s">
        <v>169</v>
      </c>
      <c r="H371" s="4" t="s">
        <v>170</v>
      </c>
      <c r="I371" s="4"/>
      <c r="J371" s="4"/>
      <c r="K371" s="4">
        <v>227</v>
      </c>
      <c r="L371" s="4">
        <v>6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228</v>
      </c>
      <c r="F372" s="4">
        <f>ROUND(Source!AY364,O372)</f>
        <v>0</v>
      </c>
      <c r="G372" s="4" t="s">
        <v>171</v>
      </c>
      <c r="H372" s="4" t="s">
        <v>172</v>
      </c>
      <c r="I372" s="4"/>
      <c r="J372" s="4"/>
      <c r="K372" s="4">
        <v>228</v>
      </c>
      <c r="L372" s="4">
        <v>7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216</v>
      </c>
      <c r="F373" s="4">
        <f>ROUND(Source!AP364,O373)</f>
        <v>0</v>
      </c>
      <c r="G373" s="4" t="s">
        <v>173</v>
      </c>
      <c r="H373" s="4" t="s">
        <v>174</v>
      </c>
      <c r="I373" s="4"/>
      <c r="J373" s="4"/>
      <c r="K373" s="4">
        <v>216</v>
      </c>
      <c r="L373" s="4">
        <v>8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223</v>
      </c>
      <c r="F374" s="4">
        <f>ROUND(Source!AQ364,O374)</f>
        <v>0</v>
      </c>
      <c r="G374" s="4" t="s">
        <v>175</v>
      </c>
      <c r="H374" s="4" t="s">
        <v>176</v>
      </c>
      <c r="I374" s="4"/>
      <c r="J374" s="4"/>
      <c r="K374" s="4">
        <v>223</v>
      </c>
      <c r="L374" s="4">
        <v>9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229</v>
      </c>
      <c r="F375" s="4">
        <f>ROUND(Source!AZ364,O375)</f>
        <v>0</v>
      </c>
      <c r="G375" s="4" t="s">
        <v>177</v>
      </c>
      <c r="H375" s="4" t="s">
        <v>178</v>
      </c>
      <c r="I375" s="4"/>
      <c r="J375" s="4"/>
      <c r="K375" s="4">
        <v>229</v>
      </c>
      <c r="L375" s="4">
        <v>10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203</v>
      </c>
      <c r="F376" s="4">
        <f>ROUND(Source!Q364,O376)</f>
        <v>71181.61</v>
      </c>
      <c r="G376" s="4" t="s">
        <v>179</v>
      </c>
      <c r="H376" s="4" t="s">
        <v>180</v>
      </c>
      <c r="I376" s="4"/>
      <c r="J376" s="4"/>
      <c r="K376" s="4">
        <v>203</v>
      </c>
      <c r="L376" s="4">
        <v>11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71181.61</v>
      </c>
      <c r="X376" s="4">
        <v>1</v>
      </c>
      <c r="Y376" s="4">
        <v>71181.61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231</v>
      </c>
      <c r="F377" s="4">
        <f>ROUND(Source!BB364,O377)</f>
        <v>0</v>
      </c>
      <c r="G377" s="4" t="s">
        <v>181</v>
      </c>
      <c r="H377" s="4" t="s">
        <v>182</v>
      </c>
      <c r="I377" s="4"/>
      <c r="J377" s="4"/>
      <c r="K377" s="4">
        <v>231</v>
      </c>
      <c r="L377" s="4">
        <v>12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204</v>
      </c>
      <c r="F378" s="4">
        <f>ROUND(Source!R364,O378)</f>
        <v>1574.23</v>
      </c>
      <c r="G378" s="4" t="s">
        <v>183</v>
      </c>
      <c r="H378" s="4" t="s">
        <v>184</v>
      </c>
      <c r="I378" s="4"/>
      <c r="J378" s="4"/>
      <c r="K378" s="4">
        <v>204</v>
      </c>
      <c r="L378" s="4">
        <v>13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1574.23</v>
      </c>
      <c r="X378" s="4">
        <v>1</v>
      </c>
      <c r="Y378" s="4">
        <v>1574.23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205</v>
      </c>
      <c r="F379" s="4">
        <f>ROUND(Source!S364,O379)</f>
        <v>0</v>
      </c>
      <c r="G379" s="4" t="s">
        <v>185</v>
      </c>
      <c r="H379" s="4" t="s">
        <v>186</v>
      </c>
      <c r="I379" s="4"/>
      <c r="J379" s="4"/>
      <c r="K379" s="4">
        <v>205</v>
      </c>
      <c r="L379" s="4">
        <v>14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232</v>
      </c>
      <c r="F380" s="4">
        <f>ROUND(Source!BC364,O380)</f>
        <v>0</v>
      </c>
      <c r="G380" s="4" t="s">
        <v>187</v>
      </c>
      <c r="H380" s="4" t="s">
        <v>188</v>
      </c>
      <c r="I380" s="4"/>
      <c r="J380" s="4"/>
      <c r="K380" s="4">
        <v>232</v>
      </c>
      <c r="L380" s="4">
        <v>15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214</v>
      </c>
      <c r="F381" s="4">
        <f>ROUND(Source!AS364,O381)</f>
        <v>6501.4</v>
      </c>
      <c r="G381" s="4" t="s">
        <v>189</v>
      </c>
      <c r="H381" s="4" t="s">
        <v>190</v>
      </c>
      <c r="I381" s="4"/>
      <c r="J381" s="4"/>
      <c r="K381" s="4">
        <v>214</v>
      </c>
      <c r="L381" s="4">
        <v>16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6501.4</v>
      </c>
      <c r="X381" s="4">
        <v>1</v>
      </c>
      <c r="Y381" s="4">
        <v>6501.4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215</v>
      </c>
      <c r="F382" s="4">
        <f>ROUND(Source!AT364,O382)</f>
        <v>0</v>
      </c>
      <c r="G382" s="4" t="s">
        <v>46</v>
      </c>
      <c r="H382" s="4" t="s">
        <v>191</v>
      </c>
      <c r="I382" s="4"/>
      <c r="J382" s="4"/>
      <c r="K382" s="4">
        <v>215</v>
      </c>
      <c r="L382" s="4">
        <v>17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217</v>
      </c>
      <c r="F383" s="4">
        <f>ROUND(Source!AU364,O383)</f>
        <v>67198.98</v>
      </c>
      <c r="G383" s="4" t="s">
        <v>192</v>
      </c>
      <c r="H383" s="4" t="s">
        <v>193</v>
      </c>
      <c r="I383" s="4"/>
      <c r="J383" s="4"/>
      <c r="K383" s="4">
        <v>217</v>
      </c>
      <c r="L383" s="4">
        <v>18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67198.98</v>
      </c>
      <c r="X383" s="4">
        <v>1</v>
      </c>
      <c r="Y383" s="4">
        <v>67198.98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230</v>
      </c>
      <c r="F384" s="4">
        <f>ROUND(Source!BA364,O384)</f>
        <v>0</v>
      </c>
      <c r="G384" s="4" t="s">
        <v>194</v>
      </c>
      <c r="H384" s="4" t="s">
        <v>195</v>
      </c>
      <c r="I384" s="4"/>
      <c r="J384" s="4"/>
      <c r="K384" s="4">
        <v>230</v>
      </c>
      <c r="L384" s="4">
        <v>19</v>
      </c>
      <c r="M384" s="4">
        <v>3</v>
      </c>
      <c r="N384" s="4" t="s">
        <v>3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06" x14ac:dyDescent="0.2">
      <c r="A385" s="4">
        <v>50</v>
      </c>
      <c r="B385" s="4">
        <v>0</v>
      </c>
      <c r="C385" s="4">
        <v>0</v>
      </c>
      <c r="D385" s="4">
        <v>1</v>
      </c>
      <c r="E385" s="4">
        <v>206</v>
      </c>
      <c r="F385" s="4">
        <f>ROUND(Source!T364,O385)</f>
        <v>0</v>
      </c>
      <c r="G385" s="4" t="s">
        <v>196</v>
      </c>
      <c r="H385" s="4" t="s">
        <v>197</v>
      </c>
      <c r="I385" s="4"/>
      <c r="J385" s="4"/>
      <c r="K385" s="4">
        <v>206</v>
      </c>
      <c r="L385" s="4">
        <v>20</v>
      </c>
      <c r="M385" s="4">
        <v>3</v>
      </c>
      <c r="N385" s="4" t="s">
        <v>3</v>
      </c>
      <c r="O385" s="4">
        <v>2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06" x14ac:dyDescent="0.2">
      <c r="A386" s="4">
        <v>50</v>
      </c>
      <c r="B386" s="4">
        <v>0</v>
      </c>
      <c r="C386" s="4">
        <v>0</v>
      </c>
      <c r="D386" s="4">
        <v>1</v>
      </c>
      <c r="E386" s="4">
        <v>207</v>
      </c>
      <c r="F386" s="4">
        <f>Source!U364</f>
        <v>0</v>
      </c>
      <c r="G386" s="4" t="s">
        <v>198</v>
      </c>
      <c r="H386" s="4" t="s">
        <v>199</v>
      </c>
      <c r="I386" s="4"/>
      <c r="J386" s="4"/>
      <c r="K386" s="4">
        <v>207</v>
      </c>
      <c r="L386" s="4">
        <v>21</v>
      </c>
      <c r="M386" s="4">
        <v>3</v>
      </c>
      <c r="N386" s="4" t="s">
        <v>3</v>
      </c>
      <c r="O386" s="4">
        <v>-1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06" x14ac:dyDescent="0.2">
      <c r="A387" s="4">
        <v>50</v>
      </c>
      <c r="B387" s="4">
        <v>0</v>
      </c>
      <c r="C387" s="4">
        <v>0</v>
      </c>
      <c r="D387" s="4">
        <v>1</v>
      </c>
      <c r="E387" s="4">
        <v>208</v>
      </c>
      <c r="F387" s="4">
        <f>Source!V364</f>
        <v>0</v>
      </c>
      <c r="G387" s="4" t="s">
        <v>200</v>
      </c>
      <c r="H387" s="4" t="s">
        <v>201</v>
      </c>
      <c r="I387" s="4"/>
      <c r="J387" s="4"/>
      <c r="K387" s="4">
        <v>208</v>
      </c>
      <c r="L387" s="4">
        <v>22</v>
      </c>
      <c r="M387" s="4">
        <v>3</v>
      </c>
      <c r="N387" s="4" t="s">
        <v>3</v>
      </c>
      <c r="O387" s="4">
        <v>-1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06" x14ac:dyDescent="0.2">
      <c r="A388" s="4">
        <v>50</v>
      </c>
      <c r="B388" s="4">
        <v>0</v>
      </c>
      <c r="C388" s="4">
        <v>0</v>
      </c>
      <c r="D388" s="4">
        <v>1</v>
      </c>
      <c r="E388" s="4">
        <v>209</v>
      </c>
      <c r="F388" s="4">
        <f>ROUND(Source!W364,O388)</f>
        <v>0</v>
      </c>
      <c r="G388" s="4" t="s">
        <v>202</v>
      </c>
      <c r="H388" s="4" t="s">
        <v>203</v>
      </c>
      <c r="I388" s="4"/>
      <c r="J388" s="4"/>
      <c r="K388" s="4">
        <v>209</v>
      </c>
      <c r="L388" s="4">
        <v>23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06" x14ac:dyDescent="0.2">
      <c r="A389" s="4">
        <v>50</v>
      </c>
      <c r="B389" s="4">
        <v>0</v>
      </c>
      <c r="C389" s="4">
        <v>0</v>
      </c>
      <c r="D389" s="4">
        <v>1</v>
      </c>
      <c r="E389" s="4">
        <v>233</v>
      </c>
      <c r="F389" s="4">
        <f>ROUND(Source!BD364,O389)</f>
        <v>0</v>
      </c>
      <c r="G389" s="4" t="s">
        <v>204</v>
      </c>
      <c r="H389" s="4" t="s">
        <v>205</v>
      </c>
      <c r="I389" s="4"/>
      <c r="J389" s="4"/>
      <c r="K389" s="4">
        <v>233</v>
      </c>
      <c r="L389" s="4">
        <v>24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0</v>
      </c>
      <c r="X389" s="4">
        <v>1</v>
      </c>
      <c r="Y389" s="4">
        <v>0</v>
      </c>
      <c r="Z389" s="4"/>
      <c r="AA389" s="4"/>
      <c r="AB389" s="4"/>
    </row>
    <row r="390" spans="1:206" x14ac:dyDescent="0.2">
      <c r="A390" s="4">
        <v>50</v>
      </c>
      <c r="B390" s="4">
        <v>0</v>
      </c>
      <c r="C390" s="4">
        <v>0</v>
      </c>
      <c r="D390" s="4">
        <v>1</v>
      </c>
      <c r="E390" s="4">
        <v>210</v>
      </c>
      <c r="F390" s="4">
        <f>ROUND(Source!X364,O390)</f>
        <v>0</v>
      </c>
      <c r="G390" s="4" t="s">
        <v>206</v>
      </c>
      <c r="H390" s="4" t="s">
        <v>207</v>
      </c>
      <c r="I390" s="4"/>
      <c r="J390" s="4"/>
      <c r="K390" s="4">
        <v>210</v>
      </c>
      <c r="L390" s="4">
        <v>25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0</v>
      </c>
      <c r="X390" s="4">
        <v>1</v>
      </c>
      <c r="Y390" s="4">
        <v>0</v>
      </c>
      <c r="Z390" s="4"/>
      <c r="AA390" s="4"/>
      <c r="AB390" s="4"/>
    </row>
    <row r="391" spans="1:206" x14ac:dyDescent="0.2">
      <c r="A391" s="4">
        <v>50</v>
      </c>
      <c r="B391" s="4">
        <v>0</v>
      </c>
      <c r="C391" s="4">
        <v>0</v>
      </c>
      <c r="D391" s="4">
        <v>1</v>
      </c>
      <c r="E391" s="4">
        <v>211</v>
      </c>
      <c r="F391" s="4">
        <f>ROUND(Source!Y364,O391)</f>
        <v>0</v>
      </c>
      <c r="G391" s="4" t="s">
        <v>208</v>
      </c>
      <c r="H391" s="4" t="s">
        <v>209</v>
      </c>
      <c r="I391" s="4"/>
      <c r="J391" s="4"/>
      <c r="K391" s="4">
        <v>211</v>
      </c>
      <c r="L391" s="4">
        <v>26</v>
      </c>
      <c r="M391" s="4">
        <v>3</v>
      </c>
      <c r="N391" s="4" t="s">
        <v>3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0</v>
      </c>
      <c r="X391" s="4">
        <v>1</v>
      </c>
      <c r="Y391" s="4">
        <v>0</v>
      </c>
      <c r="Z391" s="4"/>
      <c r="AA391" s="4"/>
      <c r="AB391" s="4"/>
    </row>
    <row r="392" spans="1:206" x14ac:dyDescent="0.2">
      <c r="A392" s="4">
        <v>50</v>
      </c>
      <c r="B392" s="4">
        <v>0</v>
      </c>
      <c r="C392" s="4">
        <v>0</v>
      </c>
      <c r="D392" s="4">
        <v>1</v>
      </c>
      <c r="E392" s="4">
        <v>224</v>
      </c>
      <c r="F392" s="4">
        <f>ROUND(Source!AR364,O392)</f>
        <v>73700.38</v>
      </c>
      <c r="G392" s="4" t="s">
        <v>210</v>
      </c>
      <c r="H392" s="4" t="s">
        <v>211</v>
      </c>
      <c r="I392" s="4"/>
      <c r="J392" s="4"/>
      <c r="K392" s="4">
        <v>224</v>
      </c>
      <c r="L392" s="4">
        <v>27</v>
      </c>
      <c r="M392" s="4">
        <v>3</v>
      </c>
      <c r="N392" s="4" t="s">
        <v>3</v>
      </c>
      <c r="O392" s="4">
        <v>2</v>
      </c>
      <c r="P392" s="4"/>
      <c r="Q392" s="4"/>
      <c r="R392" s="4"/>
      <c r="S392" s="4"/>
      <c r="T392" s="4"/>
      <c r="U392" s="4"/>
      <c r="V392" s="4"/>
      <c r="W392" s="4">
        <v>73700.38</v>
      </c>
      <c r="X392" s="4">
        <v>1</v>
      </c>
      <c r="Y392" s="4">
        <v>73700.38</v>
      </c>
      <c r="Z392" s="4"/>
      <c r="AA392" s="4"/>
      <c r="AB392" s="4"/>
    </row>
    <row r="394" spans="1:206" x14ac:dyDescent="0.2">
      <c r="A394" s="2">
        <v>51</v>
      </c>
      <c r="B394" s="2">
        <f>B20</f>
        <v>1</v>
      </c>
      <c r="C394" s="2">
        <f>A20</f>
        <v>3</v>
      </c>
      <c r="D394" s="2">
        <f>ROW(A20)</f>
        <v>20</v>
      </c>
      <c r="E394" s="2"/>
      <c r="F394" s="2" t="str">
        <f>IF(F20&lt;&gt;"",F20,"")</f>
        <v>Новая локальная смета</v>
      </c>
      <c r="G394" s="2" t="str">
        <f>IF(G20&lt;&gt;"",G20,"")</f>
        <v>Новая локальная смета</v>
      </c>
      <c r="H394" s="2">
        <v>0</v>
      </c>
      <c r="I394" s="2"/>
      <c r="J394" s="2"/>
      <c r="K394" s="2"/>
      <c r="L394" s="2"/>
      <c r="M394" s="2"/>
      <c r="N394" s="2"/>
      <c r="O394" s="2">
        <f t="shared" ref="O394:T394" si="335">ROUND(O63+O158+O232+O277+O326+O364+AB394,2)</f>
        <v>1758191.19</v>
      </c>
      <c r="P394" s="2">
        <f t="shared" si="335"/>
        <v>1073893.7</v>
      </c>
      <c r="Q394" s="2">
        <f t="shared" si="335"/>
        <v>104431.81</v>
      </c>
      <c r="R394" s="2">
        <f t="shared" si="335"/>
        <v>20546.87</v>
      </c>
      <c r="S394" s="2">
        <f t="shared" si="335"/>
        <v>579865.68000000005</v>
      </c>
      <c r="T394" s="2">
        <f t="shared" si="335"/>
        <v>0</v>
      </c>
      <c r="U394" s="2">
        <f>U63+U158+U232+U277+U326+U364+AH394</f>
        <v>1651.99647</v>
      </c>
      <c r="V394" s="2">
        <f>V63+V158+V232+V277+V326+V364+AI394</f>
        <v>0</v>
      </c>
      <c r="W394" s="2">
        <f>ROUND(W63+W158+W232+W277+W326+W364+AJ394,2)</f>
        <v>0</v>
      </c>
      <c r="X394" s="2">
        <f>ROUND(X63+X158+X232+X277+X326+X364+AK394,2)</f>
        <v>467422.2</v>
      </c>
      <c r="Y394" s="2">
        <f>ROUND(Y63+Y158+Y232+Y277+Y326+Y364+AL394,2)</f>
        <v>237744.93</v>
      </c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>
        <f t="shared" ref="AO394:BD394" si="336">ROUND(AO63+AO158+AO232+AO277+AO326+AO364+BX394,2)</f>
        <v>0</v>
      </c>
      <c r="AP394" s="2">
        <f t="shared" si="336"/>
        <v>0</v>
      </c>
      <c r="AQ394" s="2">
        <f t="shared" si="336"/>
        <v>0</v>
      </c>
      <c r="AR394" s="2">
        <f t="shared" si="336"/>
        <v>2496233.31</v>
      </c>
      <c r="AS394" s="2">
        <f t="shared" si="336"/>
        <v>2429034.33</v>
      </c>
      <c r="AT394" s="2">
        <f t="shared" si="336"/>
        <v>0</v>
      </c>
      <c r="AU394" s="2">
        <f t="shared" si="336"/>
        <v>67198.98</v>
      </c>
      <c r="AV394" s="2">
        <f t="shared" si="336"/>
        <v>1073893.7</v>
      </c>
      <c r="AW394" s="2">
        <f t="shared" si="336"/>
        <v>1073893.7</v>
      </c>
      <c r="AX394" s="2">
        <f t="shared" si="336"/>
        <v>0</v>
      </c>
      <c r="AY394" s="2">
        <f t="shared" si="336"/>
        <v>1073893.7</v>
      </c>
      <c r="AZ394" s="2">
        <f t="shared" si="336"/>
        <v>0</v>
      </c>
      <c r="BA394" s="2">
        <f t="shared" si="336"/>
        <v>0</v>
      </c>
      <c r="BB394" s="2">
        <f t="shared" si="336"/>
        <v>0</v>
      </c>
      <c r="BC394" s="2">
        <f t="shared" si="336"/>
        <v>0</v>
      </c>
      <c r="BD394" s="2">
        <f t="shared" si="336"/>
        <v>0</v>
      </c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3"/>
      <c r="DH394" s="3"/>
      <c r="DI394" s="3"/>
      <c r="DJ394" s="3"/>
      <c r="DK394" s="3"/>
      <c r="DL394" s="3"/>
      <c r="DM394" s="3"/>
      <c r="DN394" s="3"/>
      <c r="DO394" s="3"/>
      <c r="DP394" s="3"/>
      <c r="DQ394" s="3"/>
      <c r="DR394" s="3"/>
      <c r="DS394" s="3"/>
      <c r="DT394" s="3"/>
      <c r="DU394" s="3"/>
      <c r="DV394" s="3"/>
      <c r="DW394" s="3"/>
      <c r="DX394" s="3"/>
      <c r="DY394" s="3"/>
      <c r="DZ394" s="3"/>
      <c r="EA394" s="3"/>
      <c r="EB394" s="3"/>
      <c r="EC394" s="3"/>
      <c r="ED394" s="3"/>
      <c r="EE394" s="3"/>
      <c r="EF394" s="3"/>
      <c r="EG394" s="3"/>
      <c r="EH394" s="3"/>
      <c r="EI394" s="3"/>
      <c r="EJ394" s="3"/>
      <c r="EK394" s="3"/>
      <c r="EL394" s="3"/>
      <c r="EM394" s="3"/>
      <c r="EN394" s="3"/>
      <c r="EO394" s="3"/>
      <c r="EP394" s="3"/>
      <c r="EQ394" s="3"/>
      <c r="ER394" s="3"/>
      <c r="ES394" s="3"/>
      <c r="ET394" s="3"/>
      <c r="EU394" s="3"/>
      <c r="EV394" s="3"/>
      <c r="EW394" s="3"/>
      <c r="EX394" s="3"/>
      <c r="EY394" s="3"/>
      <c r="EZ394" s="3"/>
      <c r="FA394" s="3"/>
      <c r="FB394" s="3"/>
      <c r="FC394" s="3"/>
      <c r="FD394" s="3"/>
      <c r="FE394" s="3"/>
      <c r="FF394" s="3"/>
      <c r="FG394" s="3"/>
      <c r="FH394" s="3"/>
      <c r="FI394" s="3"/>
      <c r="FJ394" s="3"/>
      <c r="FK394" s="3"/>
      <c r="FL394" s="3"/>
      <c r="FM394" s="3"/>
      <c r="FN394" s="3"/>
      <c r="FO394" s="3"/>
      <c r="FP394" s="3"/>
      <c r="FQ394" s="3"/>
      <c r="FR394" s="3"/>
      <c r="FS394" s="3"/>
      <c r="FT394" s="3"/>
      <c r="FU394" s="3"/>
      <c r="FV394" s="3"/>
      <c r="FW394" s="3"/>
      <c r="FX394" s="3"/>
      <c r="FY394" s="3"/>
      <c r="FZ394" s="3"/>
      <c r="GA394" s="3"/>
      <c r="GB394" s="3"/>
      <c r="GC394" s="3"/>
      <c r="GD394" s="3"/>
      <c r="GE394" s="3"/>
      <c r="GF394" s="3"/>
      <c r="GG394" s="3"/>
      <c r="GH394" s="3"/>
      <c r="GI394" s="3"/>
      <c r="GJ394" s="3"/>
      <c r="GK394" s="3"/>
      <c r="GL394" s="3"/>
      <c r="GM394" s="3"/>
      <c r="GN394" s="3"/>
      <c r="GO394" s="3"/>
      <c r="GP394" s="3"/>
      <c r="GQ394" s="3"/>
      <c r="GR394" s="3"/>
      <c r="GS394" s="3"/>
      <c r="GT394" s="3"/>
      <c r="GU394" s="3"/>
      <c r="GV394" s="3"/>
      <c r="GW394" s="3"/>
      <c r="GX394" s="3">
        <v>0</v>
      </c>
    </row>
    <row r="396" spans="1:206" x14ac:dyDescent="0.2">
      <c r="A396" s="4">
        <v>50</v>
      </c>
      <c r="B396" s="4">
        <v>0</v>
      </c>
      <c r="C396" s="4">
        <v>0</v>
      </c>
      <c r="D396" s="4">
        <v>1</v>
      </c>
      <c r="E396" s="4">
        <v>201</v>
      </c>
      <c r="F396" s="4">
        <f>ROUND(Source!O394,O396)</f>
        <v>1758191.19</v>
      </c>
      <c r="G396" s="4" t="s">
        <v>159</v>
      </c>
      <c r="H396" s="4" t="s">
        <v>160</v>
      </c>
      <c r="I396" s="4"/>
      <c r="J396" s="4"/>
      <c r="K396" s="4">
        <v>201</v>
      </c>
      <c r="L396" s="4">
        <v>1</v>
      </c>
      <c r="M396" s="4">
        <v>3</v>
      </c>
      <c r="N396" s="4" t="s">
        <v>3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1758191.19</v>
      </c>
      <c r="X396" s="4">
        <v>1</v>
      </c>
      <c r="Y396" s="4">
        <v>1758191.19</v>
      </c>
      <c r="Z396" s="4"/>
      <c r="AA396" s="4"/>
      <c r="AB396" s="4"/>
    </row>
    <row r="397" spans="1:206" x14ac:dyDescent="0.2">
      <c r="A397" s="4">
        <v>50</v>
      </c>
      <c r="B397" s="4">
        <v>0</v>
      </c>
      <c r="C397" s="4">
        <v>0</v>
      </c>
      <c r="D397" s="4">
        <v>1</v>
      </c>
      <c r="E397" s="4">
        <v>202</v>
      </c>
      <c r="F397" s="4">
        <f>ROUND(Source!P394,O397)</f>
        <v>1073893.7</v>
      </c>
      <c r="G397" s="4" t="s">
        <v>161</v>
      </c>
      <c r="H397" s="4" t="s">
        <v>162</v>
      </c>
      <c r="I397" s="4"/>
      <c r="J397" s="4"/>
      <c r="K397" s="4">
        <v>202</v>
      </c>
      <c r="L397" s="4">
        <v>2</v>
      </c>
      <c r="M397" s="4">
        <v>3</v>
      </c>
      <c r="N397" s="4" t="s">
        <v>3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1073893.7</v>
      </c>
      <c r="X397" s="4">
        <v>1</v>
      </c>
      <c r="Y397" s="4">
        <v>1073893.7</v>
      </c>
      <c r="Z397" s="4"/>
      <c r="AA397" s="4"/>
      <c r="AB397" s="4"/>
    </row>
    <row r="398" spans="1:206" x14ac:dyDescent="0.2">
      <c r="A398" s="4">
        <v>50</v>
      </c>
      <c r="B398" s="4">
        <v>0</v>
      </c>
      <c r="C398" s="4">
        <v>0</v>
      </c>
      <c r="D398" s="4">
        <v>1</v>
      </c>
      <c r="E398" s="4">
        <v>222</v>
      </c>
      <c r="F398" s="4">
        <f>ROUND(Source!AO394,O398)</f>
        <v>0</v>
      </c>
      <c r="G398" s="4" t="s">
        <v>163</v>
      </c>
      <c r="H398" s="4" t="s">
        <v>164</v>
      </c>
      <c r="I398" s="4"/>
      <c r="J398" s="4"/>
      <c r="K398" s="4">
        <v>222</v>
      </c>
      <c r="L398" s="4">
        <v>3</v>
      </c>
      <c r="M398" s="4">
        <v>3</v>
      </c>
      <c r="N398" s="4" t="s">
        <v>3</v>
      </c>
      <c r="O398" s="4">
        <v>2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06" x14ac:dyDescent="0.2">
      <c r="A399" s="4">
        <v>50</v>
      </c>
      <c r="B399" s="4">
        <v>0</v>
      </c>
      <c r="C399" s="4">
        <v>0</v>
      </c>
      <c r="D399" s="4">
        <v>1</v>
      </c>
      <c r="E399" s="4">
        <v>225</v>
      </c>
      <c r="F399" s="4">
        <f>ROUND(Source!AV394,O399)</f>
        <v>1073893.7</v>
      </c>
      <c r="G399" s="4" t="s">
        <v>165</v>
      </c>
      <c r="H399" s="4" t="s">
        <v>166</v>
      </c>
      <c r="I399" s="4"/>
      <c r="J399" s="4"/>
      <c r="K399" s="4">
        <v>225</v>
      </c>
      <c r="L399" s="4">
        <v>4</v>
      </c>
      <c r="M399" s="4">
        <v>3</v>
      </c>
      <c r="N399" s="4" t="s">
        <v>3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1073893.7</v>
      </c>
      <c r="X399" s="4">
        <v>1</v>
      </c>
      <c r="Y399" s="4">
        <v>1073893.7</v>
      </c>
      <c r="Z399" s="4"/>
      <c r="AA399" s="4"/>
      <c r="AB399" s="4"/>
    </row>
    <row r="400" spans="1:206" x14ac:dyDescent="0.2">
      <c r="A400" s="4">
        <v>50</v>
      </c>
      <c r="B400" s="4">
        <v>0</v>
      </c>
      <c r="C400" s="4">
        <v>0</v>
      </c>
      <c r="D400" s="4">
        <v>1</v>
      </c>
      <c r="E400" s="4">
        <v>226</v>
      </c>
      <c r="F400" s="4">
        <f>ROUND(Source!AW394,O400)</f>
        <v>1073893.7</v>
      </c>
      <c r="G400" s="4" t="s">
        <v>167</v>
      </c>
      <c r="H400" s="4" t="s">
        <v>168</v>
      </c>
      <c r="I400" s="4"/>
      <c r="J400" s="4"/>
      <c r="K400" s="4">
        <v>226</v>
      </c>
      <c r="L400" s="4">
        <v>5</v>
      </c>
      <c r="M400" s="4">
        <v>3</v>
      </c>
      <c r="N400" s="4" t="s">
        <v>3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1073893.7</v>
      </c>
      <c r="X400" s="4">
        <v>1</v>
      </c>
      <c r="Y400" s="4">
        <v>1073893.7</v>
      </c>
      <c r="Z400" s="4"/>
      <c r="AA400" s="4"/>
      <c r="AB400" s="4"/>
    </row>
    <row r="401" spans="1:28" x14ac:dyDescent="0.2">
      <c r="A401" s="4">
        <v>50</v>
      </c>
      <c r="B401" s="4">
        <v>0</v>
      </c>
      <c r="C401" s="4">
        <v>0</v>
      </c>
      <c r="D401" s="4">
        <v>1</v>
      </c>
      <c r="E401" s="4">
        <v>227</v>
      </c>
      <c r="F401" s="4">
        <f>ROUND(Source!AX394,O401)</f>
        <v>0</v>
      </c>
      <c r="G401" s="4" t="s">
        <v>169</v>
      </c>
      <c r="H401" s="4" t="s">
        <v>170</v>
      </c>
      <c r="I401" s="4"/>
      <c r="J401" s="4"/>
      <c r="K401" s="4">
        <v>227</v>
      </c>
      <c r="L401" s="4">
        <v>6</v>
      </c>
      <c r="M401" s="4">
        <v>3</v>
      </c>
      <c r="N401" s="4" t="s">
        <v>3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0</v>
      </c>
      <c r="X401" s="4">
        <v>1</v>
      </c>
      <c r="Y401" s="4">
        <v>0</v>
      </c>
      <c r="Z401" s="4"/>
      <c r="AA401" s="4"/>
      <c r="AB401" s="4"/>
    </row>
    <row r="402" spans="1:28" x14ac:dyDescent="0.2">
      <c r="A402" s="4">
        <v>50</v>
      </c>
      <c r="B402" s="4">
        <v>0</v>
      </c>
      <c r="C402" s="4">
        <v>0</v>
      </c>
      <c r="D402" s="4">
        <v>1</v>
      </c>
      <c r="E402" s="4">
        <v>228</v>
      </c>
      <c r="F402" s="4">
        <f>ROUND(Source!AY394,O402)</f>
        <v>1073893.7</v>
      </c>
      <c r="G402" s="4" t="s">
        <v>171</v>
      </c>
      <c r="H402" s="4" t="s">
        <v>172</v>
      </c>
      <c r="I402" s="4"/>
      <c r="J402" s="4"/>
      <c r="K402" s="4">
        <v>228</v>
      </c>
      <c r="L402" s="4">
        <v>7</v>
      </c>
      <c r="M402" s="4">
        <v>3</v>
      </c>
      <c r="N402" s="4" t="s">
        <v>3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1073893.7</v>
      </c>
      <c r="X402" s="4">
        <v>1</v>
      </c>
      <c r="Y402" s="4">
        <v>1073893.7</v>
      </c>
      <c r="Z402" s="4"/>
      <c r="AA402" s="4"/>
      <c r="AB402" s="4"/>
    </row>
    <row r="403" spans="1:28" x14ac:dyDescent="0.2">
      <c r="A403" s="4">
        <v>50</v>
      </c>
      <c r="B403" s="4">
        <v>0</v>
      </c>
      <c r="C403" s="4">
        <v>0</v>
      </c>
      <c r="D403" s="4">
        <v>1</v>
      </c>
      <c r="E403" s="4">
        <v>216</v>
      </c>
      <c r="F403" s="4">
        <f>ROUND(Source!AP394,O403)</f>
        <v>0</v>
      </c>
      <c r="G403" s="4" t="s">
        <v>173</v>
      </c>
      <c r="H403" s="4" t="s">
        <v>174</v>
      </c>
      <c r="I403" s="4"/>
      <c r="J403" s="4"/>
      <c r="K403" s="4">
        <v>216</v>
      </c>
      <c r="L403" s="4">
        <v>8</v>
      </c>
      <c r="M403" s="4">
        <v>3</v>
      </c>
      <c r="N403" s="4" t="s">
        <v>3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0</v>
      </c>
      <c r="X403" s="4">
        <v>1</v>
      </c>
      <c r="Y403" s="4">
        <v>0</v>
      </c>
      <c r="Z403" s="4"/>
      <c r="AA403" s="4"/>
      <c r="AB403" s="4"/>
    </row>
    <row r="404" spans="1:28" x14ac:dyDescent="0.2">
      <c r="A404" s="4">
        <v>50</v>
      </c>
      <c r="B404" s="4">
        <v>0</v>
      </c>
      <c r="C404" s="4">
        <v>0</v>
      </c>
      <c r="D404" s="4">
        <v>1</v>
      </c>
      <c r="E404" s="4">
        <v>223</v>
      </c>
      <c r="F404" s="4">
        <f>ROUND(Source!AQ394,O404)</f>
        <v>0</v>
      </c>
      <c r="G404" s="4" t="s">
        <v>175</v>
      </c>
      <c r="H404" s="4" t="s">
        <v>176</v>
      </c>
      <c r="I404" s="4"/>
      <c r="J404" s="4"/>
      <c r="K404" s="4">
        <v>223</v>
      </c>
      <c r="L404" s="4">
        <v>9</v>
      </c>
      <c r="M404" s="4">
        <v>3</v>
      </c>
      <c r="N404" s="4" t="s">
        <v>3</v>
      </c>
      <c r="O404" s="4">
        <v>2</v>
      </c>
      <c r="P404" s="4"/>
      <c r="Q404" s="4"/>
      <c r="R404" s="4"/>
      <c r="S404" s="4"/>
      <c r="T404" s="4"/>
      <c r="U404" s="4"/>
      <c r="V404" s="4"/>
      <c r="W404" s="4">
        <v>0</v>
      </c>
      <c r="X404" s="4">
        <v>1</v>
      </c>
      <c r="Y404" s="4">
        <v>0</v>
      </c>
      <c r="Z404" s="4"/>
      <c r="AA404" s="4"/>
      <c r="AB404" s="4"/>
    </row>
    <row r="405" spans="1:28" x14ac:dyDescent="0.2">
      <c r="A405" s="4">
        <v>50</v>
      </c>
      <c r="B405" s="4">
        <v>0</v>
      </c>
      <c r="C405" s="4">
        <v>0</v>
      </c>
      <c r="D405" s="4">
        <v>1</v>
      </c>
      <c r="E405" s="4">
        <v>229</v>
      </c>
      <c r="F405" s="4">
        <f>ROUND(Source!AZ394,O405)</f>
        <v>0</v>
      </c>
      <c r="G405" s="4" t="s">
        <v>177</v>
      </c>
      <c r="H405" s="4" t="s">
        <v>178</v>
      </c>
      <c r="I405" s="4"/>
      <c r="J405" s="4"/>
      <c r="K405" s="4">
        <v>229</v>
      </c>
      <c r="L405" s="4">
        <v>10</v>
      </c>
      <c r="M405" s="4">
        <v>3</v>
      </c>
      <c r="N405" s="4" t="s">
        <v>3</v>
      </c>
      <c r="O405" s="4">
        <v>2</v>
      </c>
      <c r="P405" s="4"/>
      <c r="Q405" s="4"/>
      <c r="R405" s="4"/>
      <c r="S405" s="4"/>
      <c r="T405" s="4"/>
      <c r="U405" s="4"/>
      <c r="V405" s="4"/>
      <c r="W405" s="4">
        <v>0</v>
      </c>
      <c r="X405" s="4">
        <v>1</v>
      </c>
      <c r="Y405" s="4">
        <v>0</v>
      </c>
      <c r="Z405" s="4"/>
      <c r="AA405" s="4"/>
      <c r="AB405" s="4"/>
    </row>
    <row r="406" spans="1:28" x14ac:dyDescent="0.2">
      <c r="A406" s="4">
        <v>50</v>
      </c>
      <c r="B406" s="4">
        <v>0</v>
      </c>
      <c r="C406" s="4">
        <v>0</v>
      </c>
      <c r="D406" s="4">
        <v>1</v>
      </c>
      <c r="E406" s="4">
        <v>203</v>
      </c>
      <c r="F406" s="4">
        <f>ROUND(Source!Q394,O406)</f>
        <v>104431.81</v>
      </c>
      <c r="G406" s="4" t="s">
        <v>179</v>
      </c>
      <c r="H406" s="4" t="s">
        <v>180</v>
      </c>
      <c r="I406" s="4"/>
      <c r="J406" s="4"/>
      <c r="K406" s="4">
        <v>203</v>
      </c>
      <c r="L406" s="4">
        <v>11</v>
      </c>
      <c r="M406" s="4">
        <v>3</v>
      </c>
      <c r="N406" s="4" t="s">
        <v>3</v>
      </c>
      <c r="O406" s="4">
        <v>2</v>
      </c>
      <c r="P406" s="4"/>
      <c r="Q406" s="4"/>
      <c r="R406" s="4"/>
      <c r="S406" s="4"/>
      <c r="T406" s="4"/>
      <c r="U406" s="4"/>
      <c r="V406" s="4"/>
      <c r="W406" s="4">
        <v>104431.81</v>
      </c>
      <c r="X406" s="4">
        <v>1</v>
      </c>
      <c r="Y406" s="4">
        <v>104431.81</v>
      </c>
      <c r="Z406" s="4"/>
      <c r="AA406" s="4"/>
      <c r="AB406" s="4"/>
    </row>
    <row r="407" spans="1:28" x14ac:dyDescent="0.2">
      <c r="A407" s="4">
        <v>50</v>
      </c>
      <c r="B407" s="4">
        <v>0</v>
      </c>
      <c r="C407" s="4">
        <v>0</v>
      </c>
      <c r="D407" s="4">
        <v>1</v>
      </c>
      <c r="E407" s="4">
        <v>231</v>
      </c>
      <c r="F407" s="4">
        <f>ROUND(Source!BB394,O407)</f>
        <v>0</v>
      </c>
      <c r="G407" s="4" t="s">
        <v>181</v>
      </c>
      <c r="H407" s="4" t="s">
        <v>182</v>
      </c>
      <c r="I407" s="4"/>
      <c r="J407" s="4"/>
      <c r="K407" s="4">
        <v>231</v>
      </c>
      <c r="L407" s="4">
        <v>12</v>
      </c>
      <c r="M407" s="4">
        <v>3</v>
      </c>
      <c r="N407" s="4" t="s">
        <v>3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0</v>
      </c>
      <c r="X407" s="4">
        <v>1</v>
      </c>
      <c r="Y407" s="4">
        <v>0</v>
      </c>
      <c r="Z407" s="4"/>
      <c r="AA407" s="4"/>
      <c r="AB407" s="4"/>
    </row>
    <row r="408" spans="1:28" x14ac:dyDescent="0.2">
      <c r="A408" s="4">
        <v>50</v>
      </c>
      <c r="B408" s="4">
        <v>0</v>
      </c>
      <c r="C408" s="4">
        <v>0</v>
      </c>
      <c r="D408" s="4">
        <v>1</v>
      </c>
      <c r="E408" s="4">
        <v>204</v>
      </c>
      <c r="F408" s="4">
        <f>ROUND(Source!R394,O408)</f>
        <v>20546.87</v>
      </c>
      <c r="G408" s="4" t="s">
        <v>183</v>
      </c>
      <c r="H408" s="4" t="s">
        <v>184</v>
      </c>
      <c r="I408" s="4"/>
      <c r="J408" s="4"/>
      <c r="K408" s="4">
        <v>204</v>
      </c>
      <c r="L408" s="4">
        <v>13</v>
      </c>
      <c r="M408" s="4">
        <v>3</v>
      </c>
      <c r="N408" s="4" t="s">
        <v>3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20546.87</v>
      </c>
      <c r="X408" s="4">
        <v>1</v>
      </c>
      <c r="Y408" s="4">
        <v>20546.87</v>
      </c>
      <c r="Z408" s="4"/>
      <c r="AA408" s="4"/>
      <c r="AB408" s="4"/>
    </row>
    <row r="409" spans="1:28" x14ac:dyDescent="0.2">
      <c r="A409" s="4">
        <v>50</v>
      </c>
      <c r="B409" s="4">
        <v>0</v>
      </c>
      <c r="C409" s="4">
        <v>0</v>
      </c>
      <c r="D409" s="4">
        <v>1</v>
      </c>
      <c r="E409" s="4">
        <v>205</v>
      </c>
      <c r="F409" s="4">
        <f>ROUND(Source!S394,O409)</f>
        <v>579865.68000000005</v>
      </c>
      <c r="G409" s="4" t="s">
        <v>185</v>
      </c>
      <c r="H409" s="4" t="s">
        <v>186</v>
      </c>
      <c r="I409" s="4"/>
      <c r="J409" s="4"/>
      <c r="K409" s="4">
        <v>205</v>
      </c>
      <c r="L409" s="4">
        <v>14</v>
      </c>
      <c r="M409" s="4">
        <v>3</v>
      </c>
      <c r="N409" s="4" t="s">
        <v>3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579865.68000000005</v>
      </c>
      <c r="X409" s="4">
        <v>1</v>
      </c>
      <c r="Y409" s="4">
        <v>579865.68000000005</v>
      </c>
      <c r="Z409" s="4"/>
      <c r="AA409" s="4"/>
      <c r="AB409" s="4"/>
    </row>
    <row r="410" spans="1:28" x14ac:dyDescent="0.2">
      <c r="A410" s="4">
        <v>50</v>
      </c>
      <c r="B410" s="4">
        <v>0</v>
      </c>
      <c r="C410" s="4">
        <v>0</v>
      </c>
      <c r="D410" s="4">
        <v>1</v>
      </c>
      <c r="E410" s="4">
        <v>232</v>
      </c>
      <c r="F410" s="4">
        <f>ROUND(Source!BC394,O410)</f>
        <v>0</v>
      </c>
      <c r="G410" s="4" t="s">
        <v>187</v>
      </c>
      <c r="H410" s="4" t="s">
        <v>188</v>
      </c>
      <c r="I410" s="4"/>
      <c r="J410" s="4"/>
      <c r="K410" s="4">
        <v>232</v>
      </c>
      <c r="L410" s="4">
        <v>15</v>
      </c>
      <c r="M410" s="4">
        <v>3</v>
      </c>
      <c r="N410" s="4" t="s">
        <v>3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0</v>
      </c>
      <c r="X410" s="4">
        <v>1</v>
      </c>
      <c r="Y410" s="4">
        <v>0</v>
      </c>
      <c r="Z410" s="4"/>
      <c r="AA410" s="4"/>
      <c r="AB410" s="4"/>
    </row>
    <row r="411" spans="1:28" x14ac:dyDescent="0.2">
      <c r="A411" s="4">
        <v>50</v>
      </c>
      <c r="B411" s="4">
        <v>0</v>
      </c>
      <c r="C411" s="4">
        <v>0</v>
      </c>
      <c r="D411" s="4">
        <v>1</v>
      </c>
      <c r="E411" s="4">
        <v>214</v>
      </c>
      <c r="F411" s="4">
        <f>ROUND(Source!AS394,O411)</f>
        <v>2429034.33</v>
      </c>
      <c r="G411" s="4" t="s">
        <v>189</v>
      </c>
      <c r="H411" s="4" t="s">
        <v>190</v>
      </c>
      <c r="I411" s="4"/>
      <c r="J411" s="4"/>
      <c r="K411" s="4">
        <v>214</v>
      </c>
      <c r="L411" s="4">
        <v>16</v>
      </c>
      <c r="M411" s="4">
        <v>3</v>
      </c>
      <c r="N411" s="4" t="s">
        <v>3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2429034.33</v>
      </c>
      <c r="X411" s="4">
        <v>1</v>
      </c>
      <c r="Y411" s="4">
        <v>2429034.33</v>
      </c>
      <c r="Z411" s="4"/>
      <c r="AA411" s="4"/>
      <c r="AB411" s="4"/>
    </row>
    <row r="412" spans="1:28" x14ac:dyDescent="0.2">
      <c r="A412" s="4">
        <v>50</v>
      </c>
      <c r="B412" s="4">
        <v>0</v>
      </c>
      <c r="C412" s="4">
        <v>0</v>
      </c>
      <c r="D412" s="4">
        <v>1</v>
      </c>
      <c r="E412" s="4">
        <v>215</v>
      </c>
      <c r="F412" s="4">
        <f>ROUND(Source!AT394,O412)</f>
        <v>0</v>
      </c>
      <c r="G412" s="4" t="s">
        <v>46</v>
      </c>
      <c r="H412" s="4" t="s">
        <v>191</v>
      </c>
      <c r="I412" s="4"/>
      <c r="J412" s="4"/>
      <c r="K412" s="4">
        <v>215</v>
      </c>
      <c r="L412" s="4">
        <v>17</v>
      </c>
      <c r="M412" s="4">
        <v>3</v>
      </c>
      <c r="N412" s="4" t="s">
        <v>3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8" x14ac:dyDescent="0.2">
      <c r="A413" s="4">
        <v>50</v>
      </c>
      <c r="B413" s="4">
        <v>0</v>
      </c>
      <c r="C413" s="4">
        <v>0</v>
      </c>
      <c r="D413" s="4">
        <v>1</v>
      </c>
      <c r="E413" s="4">
        <v>217</v>
      </c>
      <c r="F413" s="4">
        <f>ROUND(Source!AU394,O413)</f>
        <v>67198.98</v>
      </c>
      <c r="G413" s="4" t="s">
        <v>192</v>
      </c>
      <c r="H413" s="4" t="s">
        <v>193</v>
      </c>
      <c r="I413" s="4"/>
      <c r="J413" s="4"/>
      <c r="K413" s="4">
        <v>217</v>
      </c>
      <c r="L413" s="4">
        <v>18</v>
      </c>
      <c r="M413" s="4">
        <v>3</v>
      </c>
      <c r="N413" s="4" t="s">
        <v>3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67198.98</v>
      </c>
      <c r="X413" s="4">
        <v>1</v>
      </c>
      <c r="Y413" s="4">
        <v>67198.98</v>
      </c>
      <c r="Z413" s="4"/>
      <c r="AA413" s="4"/>
      <c r="AB413" s="4"/>
    </row>
    <row r="414" spans="1:28" x14ac:dyDescent="0.2">
      <c r="A414" s="4">
        <v>50</v>
      </c>
      <c r="B414" s="4">
        <v>0</v>
      </c>
      <c r="C414" s="4">
        <v>0</v>
      </c>
      <c r="D414" s="4">
        <v>1</v>
      </c>
      <c r="E414" s="4">
        <v>230</v>
      </c>
      <c r="F414" s="4">
        <f>ROUND(Source!BA394,O414)</f>
        <v>0</v>
      </c>
      <c r="G414" s="4" t="s">
        <v>194</v>
      </c>
      <c r="H414" s="4" t="s">
        <v>195</v>
      </c>
      <c r="I414" s="4"/>
      <c r="J414" s="4"/>
      <c r="K414" s="4">
        <v>230</v>
      </c>
      <c r="L414" s="4">
        <v>19</v>
      </c>
      <c r="M414" s="4">
        <v>3</v>
      </c>
      <c r="N414" s="4" t="s">
        <v>3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8" x14ac:dyDescent="0.2">
      <c r="A415" s="4">
        <v>50</v>
      </c>
      <c r="B415" s="4">
        <v>0</v>
      </c>
      <c r="C415" s="4">
        <v>0</v>
      </c>
      <c r="D415" s="4">
        <v>1</v>
      </c>
      <c r="E415" s="4">
        <v>206</v>
      </c>
      <c r="F415" s="4">
        <f>ROUND(Source!T394,O415)</f>
        <v>0</v>
      </c>
      <c r="G415" s="4" t="s">
        <v>196</v>
      </c>
      <c r="H415" s="4" t="s">
        <v>197</v>
      </c>
      <c r="I415" s="4"/>
      <c r="J415" s="4"/>
      <c r="K415" s="4">
        <v>206</v>
      </c>
      <c r="L415" s="4">
        <v>20</v>
      </c>
      <c r="M415" s="4">
        <v>3</v>
      </c>
      <c r="N415" s="4" t="s">
        <v>3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8" x14ac:dyDescent="0.2">
      <c r="A416" s="4">
        <v>50</v>
      </c>
      <c r="B416" s="4">
        <v>0</v>
      </c>
      <c r="C416" s="4">
        <v>0</v>
      </c>
      <c r="D416" s="4">
        <v>1</v>
      </c>
      <c r="E416" s="4">
        <v>207</v>
      </c>
      <c r="F416" s="4">
        <f>Source!U394</f>
        <v>1651.99647</v>
      </c>
      <c r="G416" s="4" t="s">
        <v>198</v>
      </c>
      <c r="H416" s="4" t="s">
        <v>199</v>
      </c>
      <c r="I416" s="4"/>
      <c r="J416" s="4"/>
      <c r="K416" s="4">
        <v>207</v>
      </c>
      <c r="L416" s="4">
        <v>21</v>
      </c>
      <c r="M416" s="4">
        <v>3</v>
      </c>
      <c r="N416" s="4" t="s">
        <v>3</v>
      </c>
      <c r="O416" s="4">
        <v>-1</v>
      </c>
      <c r="P416" s="4"/>
      <c r="Q416" s="4"/>
      <c r="R416" s="4"/>
      <c r="S416" s="4"/>
      <c r="T416" s="4"/>
      <c r="U416" s="4"/>
      <c r="V416" s="4"/>
      <c r="W416" s="4">
        <v>1651.9964700000003</v>
      </c>
      <c r="X416" s="4">
        <v>1</v>
      </c>
      <c r="Y416" s="4">
        <v>1651.9964700000003</v>
      </c>
      <c r="Z416" s="4"/>
      <c r="AA416" s="4"/>
      <c r="AB416" s="4"/>
    </row>
    <row r="417" spans="1:206" x14ac:dyDescent="0.2">
      <c r="A417" s="4">
        <v>50</v>
      </c>
      <c r="B417" s="4">
        <v>0</v>
      </c>
      <c r="C417" s="4">
        <v>0</v>
      </c>
      <c r="D417" s="4">
        <v>1</v>
      </c>
      <c r="E417" s="4">
        <v>208</v>
      </c>
      <c r="F417" s="4">
        <f>Source!V394</f>
        <v>0</v>
      </c>
      <c r="G417" s="4" t="s">
        <v>200</v>
      </c>
      <c r="H417" s="4" t="s">
        <v>201</v>
      </c>
      <c r="I417" s="4"/>
      <c r="J417" s="4"/>
      <c r="K417" s="4">
        <v>208</v>
      </c>
      <c r="L417" s="4">
        <v>22</v>
      </c>
      <c r="M417" s="4">
        <v>3</v>
      </c>
      <c r="N417" s="4" t="s">
        <v>3</v>
      </c>
      <c r="O417" s="4">
        <v>-1</v>
      </c>
      <c r="P417" s="4"/>
      <c r="Q417" s="4"/>
      <c r="R417" s="4"/>
      <c r="S417" s="4"/>
      <c r="T417" s="4"/>
      <c r="U417" s="4"/>
      <c r="V417" s="4"/>
      <c r="W417" s="4">
        <v>0</v>
      </c>
      <c r="X417" s="4">
        <v>1</v>
      </c>
      <c r="Y417" s="4">
        <v>0</v>
      </c>
      <c r="Z417" s="4"/>
      <c r="AA417" s="4"/>
      <c r="AB417" s="4"/>
    </row>
    <row r="418" spans="1:206" x14ac:dyDescent="0.2">
      <c r="A418" s="4">
        <v>50</v>
      </c>
      <c r="B418" s="4">
        <v>0</v>
      </c>
      <c r="C418" s="4">
        <v>0</v>
      </c>
      <c r="D418" s="4">
        <v>1</v>
      </c>
      <c r="E418" s="4">
        <v>209</v>
      </c>
      <c r="F418" s="4">
        <f>ROUND(Source!W394,O418)</f>
        <v>0</v>
      </c>
      <c r="G418" s="4" t="s">
        <v>202</v>
      </c>
      <c r="H418" s="4" t="s">
        <v>203</v>
      </c>
      <c r="I418" s="4"/>
      <c r="J418" s="4"/>
      <c r="K418" s="4">
        <v>209</v>
      </c>
      <c r="L418" s="4">
        <v>23</v>
      </c>
      <c r="M418" s="4">
        <v>3</v>
      </c>
      <c r="N418" s="4" t="s">
        <v>3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06" x14ac:dyDescent="0.2">
      <c r="A419" s="4">
        <v>50</v>
      </c>
      <c r="B419" s="4">
        <v>0</v>
      </c>
      <c r="C419" s="4">
        <v>0</v>
      </c>
      <c r="D419" s="4">
        <v>1</v>
      </c>
      <c r="E419" s="4">
        <v>233</v>
      </c>
      <c r="F419" s="4">
        <f>ROUND(Source!BD394,O419)</f>
        <v>0</v>
      </c>
      <c r="G419" s="4" t="s">
        <v>204</v>
      </c>
      <c r="H419" s="4" t="s">
        <v>205</v>
      </c>
      <c r="I419" s="4"/>
      <c r="J419" s="4"/>
      <c r="K419" s="4">
        <v>233</v>
      </c>
      <c r="L419" s="4">
        <v>24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0</v>
      </c>
      <c r="X419" s="4">
        <v>1</v>
      </c>
      <c r="Y419" s="4">
        <v>0</v>
      </c>
      <c r="Z419" s="4"/>
      <c r="AA419" s="4"/>
      <c r="AB419" s="4"/>
    </row>
    <row r="420" spans="1:206" x14ac:dyDescent="0.2">
      <c r="A420" s="4">
        <v>50</v>
      </c>
      <c r="B420" s="4">
        <v>0</v>
      </c>
      <c r="C420" s="4">
        <v>0</v>
      </c>
      <c r="D420" s="4">
        <v>1</v>
      </c>
      <c r="E420" s="4">
        <v>210</v>
      </c>
      <c r="F420" s="4">
        <f>ROUND(Source!X394,O420)</f>
        <v>467422.2</v>
      </c>
      <c r="G420" s="4" t="s">
        <v>206</v>
      </c>
      <c r="H420" s="4" t="s">
        <v>207</v>
      </c>
      <c r="I420" s="4"/>
      <c r="J420" s="4"/>
      <c r="K420" s="4">
        <v>210</v>
      </c>
      <c r="L420" s="4">
        <v>25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467422.2</v>
      </c>
      <c r="X420" s="4">
        <v>1</v>
      </c>
      <c r="Y420" s="4">
        <v>467422.2</v>
      </c>
      <c r="Z420" s="4"/>
      <c r="AA420" s="4"/>
      <c r="AB420" s="4"/>
    </row>
    <row r="421" spans="1:206" x14ac:dyDescent="0.2">
      <c r="A421" s="4">
        <v>50</v>
      </c>
      <c r="B421" s="4">
        <v>0</v>
      </c>
      <c r="C421" s="4">
        <v>0</v>
      </c>
      <c r="D421" s="4">
        <v>1</v>
      </c>
      <c r="E421" s="4">
        <v>211</v>
      </c>
      <c r="F421" s="4">
        <f>ROUND(Source!Y394,O421)</f>
        <v>237744.93</v>
      </c>
      <c r="G421" s="4" t="s">
        <v>208</v>
      </c>
      <c r="H421" s="4" t="s">
        <v>209</v>
      </c>
      <c r="I421" s="4"/>
      <c r="J421" s="4"/>
      <c r="K421" s="4">
        <v>211</v>
      </c>
      <c r="L421" s="4">
        <v>26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237744.93</v>
      </c>
      <c r="X421" s="4">
        <v>1</v>
      </c>
      <c r="Y421" s="4">
        <v>237744.93</v>
      </c>
      <c r="Z421" s="4"/>
      <c r="AA421" s="4"/>
      <c r="AB421" s="4"/>
    </row>
    <row r="422" spans="1:206" x14ac:dyDescent="0.2">
      <c r="A422" s="4">
        <v>50</v>
      </c>
      <c r="B422" s="4">
        <v>0</v>
      </c>
      <c r="C422" s="4">
        <v>0</v>
      </c>
      <c r="D422" s="4">
        <v>1</v>
      </c>
      <c r="E422" s="4">
        <v>224</v>
      </c>
      <c r="F422" s="4">
        <f>ROUND(Source!AR394,O422)</f>
        <v>2496233.31</v>
      </c>
      <c r="G422" s="4" t="s">
        <v>210</v>
      </c>
      <c r="H422" s="4" t="s">
        <v>211</v>
      </c>
      <c r="I422" s="4"/>
      <c r="J422" s="4"/>
      <c r="K422" s="4">
        <v>224</v>
      </c>
      <c r="L422" s="4">
        <v>27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2496233.31</v>
      </c>
      <c r="X422" s="4">
        <v>1</v>
      </c>
      <c r="Y422" s="4">
        <v>2496233.31</v>
      </c>
      <c r="Z422" s="4"/>
      <c r="AA422" s="4"/>
      <c r="AB422" s="4"/>
    </row>
    <row r="423" spans="1:206" x14ac:dyDescent="0.2">
      <c r="A423" s="4">
        <v>50</v>
      </c>
      <c r="B423" s="4">
        <v>1</v>
      </c>
      <c r="C423" s="4">
        <v>0</v>
      </c>
      <c r="D423" s="4">
        <v>2</v>
      </c>
      <c r="E423" s="4">
        <v>0</v>
      </c>
      <c r="F423" s="4">
        <f>ROUND(F422,O423)</f>
        <v>2496233.31</v>
      </c>
      <c r="G423" s="4" t="s">
        <v>624</v>
      </c>
      <c r="H423" s="4" t="s">
        <v>625</v>
      </c>
      <c r="I423" s="4"/>
      <c r="J423" s="4"/>
      <c r="K423" s="4">
        <v>212</v>
      </c>
      <c r="L423" s="4">
        <v>28</v>
      </c>
      <c r="M423" s="4">
        <v>0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2496233.31</v>
      </c>
      <c r="X423" s="4">
        <v>1</v>
      </c>
      <c r="Y423" s="4">
        <v>2496233.31</v>
      </c>
      <c r="Z423" s="4"/>
      <c r="AA423" s="4"/>
      <c r="AB423" s="4"/>
    </row>
    <row r="424" spans="1:206" x14ac:dyDescent="0.2">
      <c r="A424" s="4">
        <v>50</v>
      </c>
      <c r="B424" s="4">
        <v>1</v>
      </c>
      <c r="C424" s="4">
        <v>0</v>
      </c>
      <c r="D424" s="4">
        <v>2</v>
      </c>
      <c r="E424" s="4">
        <v>0</v>
      </c>
      <c r="F424" s="4">
        <f>ROUND(F423*0.2,O424)</f>
        <v>499246.66</v>
      </c>
      <c r="G424" s="4" t="s">
        <v>626</v>
      </c>
      <c r="H424" s="4" t="s">
        <v>627</v>
      </c>
      <c r="I424" s="4"/>
      <c r="J424" s="4"/>
      <c r="K424" s="4">
        <v>212</v>
      </c>
      <c r="L424" s="4">
        <v>30</v>
      </c>
      <c r="M424" s="4">
        <v>0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499246.66</v>
      </c>
      <c r="X424" s="4">
        <v>1</v>
      </c>
      <c r="Y424" s="4">
        <v>499246.66</v>
      </c>
      <c r="Z424" s="4"/>
      <c r="AA424" s="4"/>
      <c r="AB424" s="4"/>
    </row>
    <row r="425" spans="1:206" x14ac:dyDescent="0.2">
      <c r="A425" s="4">
        <v>50</v>
      </c>
      <c r="B425" s="4">
        <v>1</v>
      </c>
      <c r="C425" s="4">
        <v>0</v>
      </c>
      <c r="D425" s="4">
        <v>2</v>
      </c>
      <c r="E425" s="4">
        <v>0</v>
      </c>
      <c r="F425" s="4">
        <f>ROUND(F424+F423,O425)</f>
        <v>2995479.97</v>
      </c>
      <c r="G425" s="4" t="s">
        <v>628</v>
      </c>
      <c r="H425" s="4" t="s">
        <v>210</v>
      </c>
      <c r="I425" s="4"/>
      <c r="J425" s="4"/>
      <c r="K425" s="4">
        <v>212</v>
      </c>
      <c r="L425" s="4">
        <v>31</v>
      </c>
      <c r="M425" s="4">
        <v>0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2995479.97</v>
      </c>
      <c r="X425" s="4">
        <v>1</v>
      </c>
      <c r="Y425" s="4">
        <v>2995479.97</v>
      </c>
      <c r="Z425" s="4"/>
      <c r="AA425" s="4"/>
      <c r="AB425" s="4"/>
    </row>
    <row r="427" spans="1:206" x14ac:dyDescent="0.2">
      <c r="A427" s="2">
        <v>51</v>
      </c>
      <c r="B427" s="2">
        <f>B12</f>
        <v>463</v>
      </c>
      <c r="C427" s="2">
        <f>A12</f>
        <v>1</v>
      </c>
      <c r="D427" s="2">
        <f>ROW(A12)</f>
        <v>12</v>
      </c>
      <c r="E427" s="2"/>
      <c r="F427" s="2" t="str">
        <f>IF(F12&lt;&gt;"",F12,"")</f>
        <v/>
      </c>
      <c r="G427" s="2" t="str">
        <f>IF(G12&lt;&gt;"",G12,"")</f>
        <v>ГБУ "Мой семейный центр "Зеленоград" по адресу: г. Москва, г. Зеленоград, к.1426_(до 3) (ТСН-2001 (Мосгосэкспертиза))</v>
      </c>
      <c r="H427" s="2">
        <v>0</v>
      </c>
      <c r="I427" s="2"/>
      <c r="J427" s="2"/>
      <c r="K427" s="2"/>
      <c r="L427" s="2"/>
      <c r="M427" s="2"/>
      <c r="N427" s="2"/>
      <c r="O427" s="2">
        <f t="shared" ref="O427:T427" si="337">ROUND(O394,2)</f>
        <v>1758191.19</v>
      </c>
      <c r="P427" s="2">
        <f t="shared" si="337"/>
        <v>1073893.7</v>
      </c>
      <c r="Q427" s="2">
        <f t="shared" si="337"/>
        <v>104431.81</v>
      </c>
      <c r="R427" s="2">
        <f t="shared" si="337"/>
        <v>20546.87</v>
      </c>
      <c r="S427" s="2">
        <f t="shared" si="337"/>
        <v>579865.68000000005</v>
      </c>
      <c r="T427" s="2">
        <f t="shared" si="337"/>
        <v>0</v>
      </c>
      <c r="U427" s="2">
        <f>U394</f>
        <v>1651.99647</v>
      </c>
      <c r="V427" s="2">
        <f>V394</f>
        <v>0</v>
      </c>
      <c r="W427" s="2">
        <f>ROUND(W394,2)</f>
        <v>0</v>
      </c>
      <c r="X427" s="2">
        <f>ROUND(X394,2)</f>
        <v>467422.2</v>
      </c>
      <c r="Y427" s="2">
        <f>ROUND(Y394,2)</f>
        <v>237744.93</v>
      </c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>
        <f t="shared" ref="AO427:BD427" si="338">ROUND(AO394,2)</f>
        <v>0</v>
      </c>
      <c r="AP427" s="2">
        <f t="shared" si="338"/>
        <v>0</v>
      </c>
      <c r="AQ427" s="2">
        <f t="shared" si="338"/>
        <v>0</v>
      </c>
      <c r="AR427" s="2">
        <f t="shared" si="338"/>
        <v>2496233.31</v>
      </c>
      <c r="AS427" s="2">
        <f t="shared" si="338"/>
        <v>2429034.33</v>
      </c>
      <c r="AT427" s="2">
        <f t="shared" si="338"/>
        <v>0</v>
      </c>
      <c r="AU427" s="2">
        <f t="shared" si="338"/>
        <v>67198.98</v>
      </c>
      <c r="AV427" s="2">
        <f t="shared" si="338"/>
        <v>1073893.7</v>
      </c>
      <c r="AW427" s="2">
        <f t="shared" si="338"/>
        <v>1073893.7</v>
      </c>
      <c r="AX427" s="2">
        <f t="shared" si="338"/>
        <v>0</v>
      </c>
      <c r="AY427" s="2">
        <f t="shared" si="338"/>
        <v>1073893.7</v>
      </c>
      <c r="AZ427" s="2">
        <f t="shared" si="338"/>
        <v>0</v>
      </c>
      <c r="BA427" s="2">
        <f t="shared" si="338"/>
        <v>0</v>
      </c>
      <c r="BB427" s="2">
        <f t="shared" si="338"/>
        <v>0</v>
      </c>
      <c r="BC427" s="2">
        <f t="shared" si="338"/>
        <v>0</v>
      </c>
      <c r="BD427" s="2">
        <f t="shared" si="338"/>
        <v>0</v>
      </c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3"/>
      <c r="DH427" s="3"/>
      <c r="DI427" s="3"/>
      <c r="DJ427" s="3"/>
      <c r="DK427" s="3"/>
      <c r="DL427" s="3"/>
      <c r="DM427" s="3"/>
      <c r="DN427" s="3"/>
      <c r="DO427" s="3"/>
      <c r="DP427" s="3"/>
      <c r="DQ427" s="3"/>
      <c r="DR427" s="3"/>
      <c r="DS427" s="3"/>
      <c r="DT427" s="3"/>
      <c r="DU427" s="3"/>
      <c r="DV427" s="3"/>
      <c r="DW427" s="3"/>
      <c r="DX427" s="3"/>
      <c r="DY427" s="3"/>
      <c r="DZ427" s="3"/>
      <c r="EA427" s="3"/>
      <c r="EB427" s="3"/>
      <c r="EC427" s="3"/>
      <c r="ED427" s="3"/>
      <c r="EE427" s="3"/>
      <c r="EF427" s="3"/>
      <c r="EG427" s="3"/>
      <c r="EH427" s="3"/>
      <c r="EI427" s="3"/>
      <c r="EJ427" s="3"/>
      <c r="EK427" s="3"/>
      <c r="EL427" s="3"/>
      <c r="EM427" s="3"/>
      <c r="EN427" s="3"/>
      <c r="EO427" s="3"/>
      <c r="EP427" s="3"/>
      <c r="EQ427" s="3"/>
      <c r="ER427" s="3"/>
      <c r="ES427" s="3"/>
      <c r="ET427" s="3"/>
      <c r="EU427" s="3"/>
      <c r="EV427" s="3"/>
      <c r="EW427" s="3"/>
      <c r="EX427" s="3"/>
      <c r="EY427" s="3"/>
      <c r="EZ427" s="3"/>
      <c r="FA427" s="3"/>
      <c r="FB427" s="3"/>
      <c r="FC427" s="3"/>
      <c r="FD427" s="3"/>
      <c r="FE427" s="3"/>
      <c r="FF427" s="3"/>
      <c r="FG427" s="3"/>
      <c r="FH427" s="3"/>
      <c r="FI427" s="3"/>
      <c r="FJ427" s="3"/>
      <c r="FK427" s="3"/>
      <c r="FL427" s="3"/>
      <c r="FM427" s="3"/>
      <c r="FN427" s="3"/>
      <c r="FO427" s="3"/>
      <c r="FP427" s="3"/>
      <c r="FQ427" s="3"/>
      <c r="FR427" s="3"/>
      <c r="FS427" s="3"/>
      <c r="FT427" s="3"/>
      <c r="FU427" s="3"/>
      <c r="FV427" s="3"/>
      <c r="FW427" s="3"/>
      <c r="FX427" s="3"/>
      <c r="FY427" s="3"/>
      <c r="FZ427" s="3"/>
      <c r="GA427" s="3"/>
      <c r="GB427" s="3"/>
      <c r="GC427" s="3"/>
      <c r="GD427" s="3"/>
      <c r="GE427" s="3"/>
      <c r="GF427" s="3"/>
      <c r="GG427" s="3"/>
      <c r="GH427" s="3"/>
      <c r="GI427" s="3"/>
      <c r="GJ427" s="3"/>
      <c r="GK427" s="3"/>
      <c r="GL427" s="3"/>
      <c r="GM427" s="3"/>
      <c r="GN427" s="3"/>
      <c r="GO427" s="3"/>
      <c r="GP427" s="3"/>
      <c r="GQ427" s="3"/>
      <c r="GR427" s="3"/>
      <c r="GS427" s="3"/>
      <c r="GT427" s="3"/>
      <c r="GU427" s="3"/>
      <c r="GV427" s="3"/>
      <c r="GW427" s="3"/>
      <c r="GX427" s="3">
        <v>0</v>
      </c>
    </row>
    <row r="429" spans="1:206" x14ac:dyDescent="0.2">
      <c r="A429" s="4">
        <v>50</v>
      </c>
      <c r="B429" s="4">
        <v>0</v>
      </c>
      <c r="C429" s="4">
        <v>0</v>
      </c>
      <c r="D429" s="4">
        <v>1</v>
      </c>
      <c r="E429" s="4">
        <v>201</v>
      </c>
      <c r="F429" s="4">
        <f>ROUND(Source!O427,O429)</f>
        <v>1758191.19</v>
      </c>
      <c r="G429" s="4" t="s">
        <v>159</v>
      </c>
      <c r="H429" s="4" t="s">
        <v>160</v>
      </c>
      <c r="I429" s="4"/>
      <c r="J429" s="4"/>
      <c r="K429" s="4">
        <v>201</v>
      </c>
      <c r="L429" s="4">
        <v>1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1758191.19</v>
      </c>
      <c r="X429" s="4">
        <v>1</v>
      </c>
      <c r="Y429" s="4">
        <v>1758191.19</v>
      </c>
      <c r="Z429" s="4"/>
      <c r="AA429" s="4"/>
      <c r="AB429" s="4"/>
    </row>
    <row r="430" spans="1:206" x14ac:dyDescent="0.2">
      <c r="A430" s="4">
        <v>50</v>
      </c>
      <c r="B430" s="4">
        <v>0</v>
      </c>
      <c r="C430" s="4">
        <v>0</v>
      </c>
      <c r="D430" s="4">
        <v>1</v>
      </c>
      <c r="E430" s="4">
        <v>202</v>
      </c>
      <c r="F430" s="4">
        <f>ROUND(Source!P427,O430)</f>
        <v>1073893.7</v>
      </c>
      <c r="G430" s="4" t="s">
        <v>161</v>
      </c>
      <c r="H430" s="4" t="s">
        <v>162</v>
      </c>
      <c r="I430" s="4"/>
      <c r="J430" s="4"/>
      <c r="K430" s="4">
        <v>202</v>
      </c>
      <c r="L430" s="4">
        <v>2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1073893.7</v>
      </c>
      <c r="X430" s="4">
        <v>1</v>
      </c>
      <c r="Y430" s="4">
        <v>1073893.7</v>
      </c>
      <c r="Z430" s="4"/>
      <c r="AA430" s="4"/>
      <c r="AB430" s="4"/>
    </row>
    <row r="431" spans="1:206" x14ac:dyDescent="0.2">
      <c r="A431" s="4">
        <v>50</v>
      </c>
      <c r="B431" s="4">
        <v>0</v>
      </c>
      <c r="C431" s="4">
        <v>0</v>
      </c>
      <c r="D431" s="4">
        <v>1</v>
      </c>
      <c r="E431" s="4">
        <v>222</v>
      </c>
      <c r="F431" s="4">
        <f>ROUND(Source!AO427,O431)</f>
        <v>0</v>
      </c>
      <c r="G431" s="4" t="s">
        <v>163</v>
      </c>
      <c r="H431" s="4" t="s">
        <v>164</v>
      </c>
      <c r="I431" s="4"/>
      <c r="J431" s="4"/>
      <c r="K431" s="4">
        <v>222</v>
      </c>
      <c r="L431" s="4">
        <v>3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06" x14ac:dyDescent="0.2">
      <c r="A432" s="4">
        <v>50</v>
      </c>
      <c r="B432" s="4">
        <v>0</v>
      </c>
      <c r="C432" s="4">
        <v>0</v>
      </c>
      <c r="D432" s="4">
        <v>1</v>
      </c>
      <c r="E432" s="4">
        <v>225</v>
      </c>
      <c r="F432" s="4">
        <f>ROUND(Source!AV427,O432)</f>
        <v>1073893.7</v>
      </c>
      <c r="G432" s="4" t="s">
        <v>165</v>
      </c>
      <c r="H432" s="4" t="s">
        <v>166</v>
      </c>
      <c r="I432" s="4"/>
      <c r="J432" s="4"/>
      <c r="K432" s="4">
        <v>225</v>
      </c>
      <c r="L432" s="4">
        <v>4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1073893.7</v>
      </c>
      <c r="X432" s="4">
        <v>1</v>
      </c>
      <c r="Y432" s="4">
        <v>1073893.7</v>
      </c>
      <c r="Z432" s="4"/>
      <c r="AA432" s="4"/>
      <c r="AB432" s="4"/>
    </row>
    <row r="433" spans="1:28" x14ac:dyDescent="0.2">
      <c r="A433" s="4">
        <v>50</v>
      </c>
      <c r="B433" s="4">
        <v>0</v>
      </c>
      <c r="C433" s="4">
        <v>0</v>
      </c>
      <c r="D433" s="4">
        <v>1</v>
      </c>
      <c r="E433" s="4">
        <v>226</v>
      </c>
      <c r="F433" s="4">
        <f>ROUND(Source!AW427,O433)</f>
        <v>1073893.7</v>
      </c>
      <c r="G433" s="4" t="s">
        <v>167</v>
      </c>
      <c r="H433" s="4" t="s">
        <v>168</v>
      </c>
      <c r="I433" s="4"/>
      <c r="J433" s="4"/>
      <c r="K433" s="4">
        <v>226</v>
      </c>
      <c r="L433" s="4">
        <v>5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1073893.7</v>
      </c>
      <c r="X433" s="4">
        <v>1</v>
      </c>
      <c r="Y433" s="4">
        <v>1073893.7</v>
      </c>
      <c r="Z433" s="4"/>
      <c r="AA433" s="4"/>
      <c r="AB433" s="4"/>
    </row>
    <row r="434" spans="1:28" x14ac:dyDescent="0.2">
      <c r="A434" s="4">
        <v>50</v>
      </c>
      <c r="B434" s="4">
        <v>0</v>
      </c>
      <c r="C434" s="4">
        <v>0</v>
      </c>
      <c r="D434" s="4">
        <v>1</v>
      </c>
      <c r="E434" s="4">
        <v>227</v>
      </c>
      <c r="F434" s="4">
        <f>ROUND(Source!AX427,O434)</f>
        <v>0</v>
      </c>
      <c r="G434" s="4" t="s">
        <v>169</v>
      </c>
      <c r="H434" s="4" t="s">
        <v>170</v>
      </c>
      <c r="I434" s="4"/>
      <c r="J434" s="4"/>
      <c r="K434" s="4">
        <v>227</v>
      </c>
      <c r="L434" s="4">
        <v>6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8" x14ac:dyDescent="0.2">
      <c r="A435" s="4">
        <v>50</v>
      </c>
      <c r="B435" s="4">
        <v>0</v>
      </c>
      <c r="C435" s="4">
        <v>0</v>
      </c>
      <c r="D435" s="4">
        <v>1</v>
      </c>
      <c r="E435" s="4">
        <v>228</v>
      </c>
      <c r="F435" s="4">
        <f>ROUND(Source!AY427,O435)</f>
        <v>1073893.7</v>
      </c>
      <c r="G435" s="4" t="s">
        <v>171</v>
      </c>
      <c r="H435" s="4" t="s">
        <v>172</v>
      </c>
      <c r="I435" s="4"/>
      <c r="J435" s="4"/>
      <c r="K435" s="4">
        <v>228</v>
      </c>
      <c r="L435" s="4">
        <v>7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1073893.7</v>
      </c>
      <c r="X435" s="4">
        <v>1</v>
      </c>
      <c r="Y435" s="4">
        <v>1073893.7</v>
      </c>
      <c r="Z435" s="4"/>
      <c r="AA435" s="4"/>
      <c r="AB435" s="4"/>
    </row>
    <row r="436" spans="1:28" x14ac:dyDescent="0.2">
      <c r="A436" s="4">
        <v>50</v>
      </c>
      <c r="B436" s="4">
        <v>0</v>
      </c>
      <c r="C436" s="4">
        <v>0</v>
      </c>
      <c r="D436" s="4">
        <v>1</v>
      </c>
      <c r="E436" s="4">
        <v>216</v>
      </c>
      <c r="F436" s="4">
        <f>ROUND(Source!AP427,O436)</f>
        <v>0</v>
      </c>
      <c r="G436" s="4" t="s">
        <v>173</v>
      </c>
      <c r="H436" s="4" t="s">
        <v>174</v>
      </c>
      <c r="I436" s="4"/>
      <c r="J436" s="4"/>
      <c r="K436" s="4">
        <v>216</v>
      </c>
      <c r="L436" s="4">
        <v>8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8" x14ac:dyDescent="0.2">
      <c r="A437" s="4">
        <v>50</v>
      </c>
      <c r="B437" s="4">
        <v>0</v>
      </c>
      <c r="C437" s="4">
        <v>0</v>
      </c>
      <c r="D437" s="4">
        <v>1</v>
      </c>
      <c r="E437" s="4">
        <v>223</v>
      </c>
      <c r="F437" s="4">
        <f>ROUND(Source!AQ427,O437)</f>
        <v>0</v>
      </c>
      <c r="G437" s="4" t="s">
        <v>175</v>
      </c>
      <c r="H437" s="4" t="s">
        <v>176</v>
      </c>
      <c r="I437" s="4"/>
      <c r="J437" s="4"/>
      <c r="K437" s="4">
        <v>223</v>
      </c>
      <c r="L437" s="4">
        <v>9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8" x14ac:dyDescent="0.2">
      <c r="A438" s="4">
        <v>50</v>
      </c>
      <c r="B438" s="4">
        <v>0</v>
      </c>
      <c r="C438" s="4">
        <v>0</v>
      </c>
      <c r="D438" s="4">
        <v>1</v>
      </c>
      <c r="E438" s="4">
        <v>229</v>
      </c>
      <c r="F438" s="4">
        <f>ROUND(Source!AZ427,O438)</f>
        <v>0</v>
      </c>
      <c r="G438" s="4" t="s">
        <v>177</v>
      </c>
      <c r="H438" s="4" t="s">
        <v>178</v>
      </c>
      <c r="I438" s="4"/>
      <c r="J438" s="4"/>
      <c r="K438" s="4">
        <v>229</v>
      </c>
      <c r="L438" s="4">
        <v>10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8" x14ac:dyDescent="0.2">
      <c r="A439" s="4">
        <v>50</v>
      </c>
      <c r="B439" s="4">
        <v>0</v>
      </c>
      <c r="C439" s="4">
        <v>0</v>
      </c>
      <c r="D439" s="4">
        <v>1</v>
      </c>
      <c r="E439" s="4">
        <v>203</v>
      </c>
      <c r="F439" s="4">
        <f>ROUND(Source!Q427,O439)</f>
        <v>104431.81</v>
      </c>
      <c r="G439" s="4" t="s">
        <v>179</v>
      </c>
      <c r="H439" s="4" t="s">
        <v>180</v>
      </c>
      <c r="I439" s="4"/>
      <c r="J439" s="4"/>
      <c r="K439" s="4">
        <v>203</v>
      </c>
      <c r="L439" s="4">
        <v>11</v>
      </c>
      <c r="M439" s="4">
        <v>3</v>
      </c>
      <c r="N439" s="4" t="s">
        <v>3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104431.81</v>
      </c>
      <c r="X439" s="4">
        <v>1</v>
      </c>
      <c r="Y439" s="4">
        <v>104431.81</v>
      </c>
      <c r="Z439" s="4"/>
      <c r="AA439" s="4"/>
      <c r="AB439" s="4"/>
    </row>
    <row r="440" spans="1:28" x14ac:dyDescent="0.2">
      <c r="A440" s="4">
        <v>50</v>
      </c>
      <c r="B440" s="4">
        <v>0</v>
      </c>
      <c r="C440" s="4">
        <v>0</v>
      </c>
      <c r="D440" s="4">
        <v>1</v>
      </c>
      <c r="E440" s="4">
        <v>231</v>
      </c>
      <c r="F440" s="4">
        <f>ROUND(Source!BB427,O440)</f>
        <v>0</v>
      </c>
      <c r="G440" s="4" t="s">
        <v>181</v>
      </c>
      <c r="H440" s="4" t="s">
        <v>182</v>
      </c>
      <c r="I440" s="4"/>
      <c r="J440" s="4"/>
      <c r="K440" s="4">
        <v>231</v>
      </c>
      <c r="L440" s="4">
        <v>12</v>
      </c>
      <c r="M440" s="4">
        <v>3</v>
      </c>
      <c r="N440" s="4" t="s">
        <v>3</v>
      </c>
      <c r="O440" s="4">
        <v>2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8" x14ac:dyDescent="0.2">
      <c r="A441" s="4">
        <v>50</v>
      </c>
      <c r="B441" s="4">
        <v>0</v>
      </c>
      <c r="C441" s="4">
        <v>0</v>
      </c>
      <c r="D441" s="4">
        <v>1</v>
      </c>
      <c r="E441" s="4">
        <v>204</v>
      </c>
      <c r="F441" s="4">
        <f>ROUND(Source!R427,O441)</f>
        <v>20546.87</v>
      </c>
      <c r="G441" s="4" t="s">
        <v>183</v>
      </c>
      <c r="H441" s="4" t="s">
        <v>184</v>
      </c>
      <c r="I441" s="4"/>
      <c r="J441" s="4"/>
      <c r="K441" s="4">
        <v>204</v>
      </c>
      <c r="L441" s="4">
        <v>13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20546.87</v>
      </c>
      <c r="X441" s="4">
        <v>1</v>
      </c>
      <c r="Y441" s="4">
        <v>20546.87</v>
      </c>
      <c r="Z441" s="4"/>
      <c r="AA441" s="4"/>
      <c r="AB441" s="4"/>
    </row>
    <row r="442" spans="1:28" x14ac:dyDescent="0.2">
      <c r="A442" s="4">
        <v>50</v>
      </c>
      <c r="B442" s="4">
        <v>0</v>
      </c>
      <c r="C442" s="4">
        <v>0</v>
      </c>
      <c r="D442" s="4">
        <v>1</v>
      </c>
      <c r="E442" s="4">
        <v>205</v>
      </c>
      <c r="F442" s="4">
        <f>ROUND(Source!S427,O442)</f>
        <v>579865.68000000005</v>
      </c>
      <c r="G442" s="4" t="s">
        <v>185</v>
      </c>
      <c r="H442" s="4" t="s">
        <v>186</v>
      </c>
      <c r="I442" s="4"/>
      <c r="J442" s="4"/>
      <c r="K442" s="4">
        <v>205</v>
      </c>
      <c r="L442" s="4">
        <v>14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579865.68000000005</v>
      </c>
      <c r="X442" s="4">
        <v>1</v>
      </c>
      <c r="Y442" s="4">
        <v>579865.68000000005</v>
      </c>
      <c r="Z442" s="4"/>
      <c r="AA442" s="4"/>
      <c r="AB442" s="4"/>
    </row>
    <row r="443" spans="1:28" x14ac:dyDescent="0.2">
      <c r="A443" s="4">
        <v>50</v>
      </c>
      <c r="B443" s="4">
        <v>0</v>
      </c>
      <c r="C443" s="4">
        <v>0</v>
      </c>
      <c r="D443" s="4">
        <v>1</v>
      </c>
      <c r="E443" s="4">
        <v>232</v>
      </c>
      <c r="F443" s="4">
        <f>ROUND(Source!BC427,O443)</f>
        <v>0</v>
      </c>
      <c r="G443" s="4" t="s">
        <v>187</v>
      </c>
      <c r="H443" s="4" t="s">
        <v>188</v>
      </c>
      <c r="I443" s="4"/>
      <c r="J443" s="4"/>
      <c r="K443" s="4">
        <v>232</v>
      </c>
      <c r="L443" s="4">
        <v>15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28" x14ac:dyDescent="0.2">
      <c r="A444" s="4">
        <v>50</v>
      </c>
      <c r="B444" s="4">
        <v>0</v>
      </c>
      <c r="C444" s="4">
        <v>0</v>
      </c>
      <c r="D444" s="4">
        <v>1</v>
      </c>
      <c r="E444" s="4">
        <v>214</v>
      </c>
      <c r="F444" s="4">
        <f>ROUND(Source!AS427,O444)</f>
        <v>2429034.33</v>
      </c>
      <c r="G444" s="4" t="s">
        <v>189</v>
      </c>
      <c r="H444" s="4" t="s">
        <v>190</v>
      </c>
      <c r="I444" s="4"/>
      <c r="J444" s="4"/>
      <c r="K444" s="4">
        <v>214</v>
      </c>
      <c r="L444" s="4">
        <v>16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2429034.33</v>
      </c>
      <c r="X444" s="4">
        <v>1</v>
      </c>
      <c r="Y444" s="4">
        <v>2429034.33</v>
      </c>
      <c r="Z444" s="4"/>
      <c r="AA444" s="4"/>
      <c r="AB444" s="4"/>
    </row>
    <row r="445" spans="1:28" x14ac:dyDescent="0.2">
      <c r="A445" s="4">
        <v>50</v>
      </c>
      <c r="B445" s="4">
        <v>0</v>
      </c>
      <c r="C445" s="4">
        <v>0</v>
      </c>
      <c r="D445" s="4">
        <v>1</v>
      </c>
      <c r="E445" s="4">
        <v>215</v>
      </c>
      <c r="F445" s="4">
        <f>ROUND(Source!AT427,O445)</f>
        <v>0</v>
      </c>
      <c r="G445" s="4" t="s">
        <v>46</v>
      </c>
      <c r="H445" s="4" t="s">
        <v>191</v>
      </c>
      <c r="I445" s="4"/>
      <c r="J445" s="4"/>
      <c r="K445" s="4">
        <v>215</v>
      </c>
      <c r="L445" s="4">
        <v>17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0</v>
      </c>
      <c r="X445" s="4">
        <v>1</v>
      </c>
      <c r="Y445" s="4">
        <v>0</v>
      </c>
      <c r="Z445" s="4"/>
      <c r="AA445" s="4"/>
      <c r="AB445" s="4"/>
    </row>
    <row r="446" spans="1:28" x14ac:dyDescent="0.2">
      <c r="A446" s="4">
        <v>50</v>
      </c>
      <c r="B446" s="4">
        <v>0</v>
      </c>
      <c r="C446" s="4">
        <v>0</v>
      </c>
      <c r="D446" s="4">
        <v>1</v>
      </c>
      <c r="E446" s="4">
        <v>217</v>
      </c>
      <c r="F446" s="4">
        <f>ROUND(Source!AU427,O446)</f>
        <v>67198.98</v>
      </c>
      <c r="G446" s="4" t="s">
        <v>192</v>
      </c>
      <c r="H446" s="4" t="s">
        <v>193</v>
      </c>
      <c r="I446" s="4"/>
      <c r="J446" s="4"/>
      <c r="K446" s="4">
        <v>217</v>
      </c>
      <c r="L446" s="4">
        <v>18</v>
      </c>
      <c r="M446" s="4">
        <v>3</v>
      </c>
      <c r="N446" s="4" t="s">
        <v>3</v>
      </c>
      <c r="O446" s="4">
        <v>2</v>
      </c>
      <c r="P446" s="4"/>
      <c r="Q446" s="4"/>
      <c r="R446" s="4"/>
      <c r="S446" s="4"/>
      <c r="T446" s="4"/>
      <c r="U446" s="4"/>
      <c r="V446" s="4"/>
      <c r="W446" s="4">
        <v>67198.98</v>
      </c>
      <c r="X446" s="4">
        <v>1</v>
      </c>
      <c r="Y446" s="4">
        <v>67198.98</v>
      </c>
      <c r="Z446" s="4"/>
      <c r="AA446" s="4"/>
      <c r="AB446" s="4"/>
    </row>
    <row r="447" spans="1:28" x14ac:dyDescent="0.2">
      <c r="A447" s="4">
        <v>50</v>
      </c>
      <c r="B447" s="4">
        <v>0</v>
      </c>
      <c r="C447" s="4">
        <v>0</v>
      </c>
      <c r="D447" s="4">
        <v>1</v>
      </c>
      <c r="E447" s="4">
        <v>230</v>
      </c>
      <c r="F447" s="4">
        <f>ROUND(Source!BA427,O447)</f>
        <v>0</v>
      </c>
      <c r="G447" s="4" t="s">
        <v>194</v>
      </c>
      <c r="H447" s="4" t="s">
        <v>195</v>
      </c>
      <c r="I447" s="4"/>
      <c r="J447" s="4"/>
      <c r="K447" s="4">
        <v>230</v>
      </c>
      <c r="L447" s="4">
        <v>19</v>
      </c>
      <c r="M447" s="4">
        <v>3</v>
      </c>
      <c r="N447" s="4" t="s">
        <v>3</v>
      </c>
      <c r="O447" s="4">
        <v>2</v>
      </c>
      <c r="P447" s="4"/>
      <c r="Q447" s="4"/>
      <c r="R447" s="4"/>
      <c r="S447" s="4"/>
      <c r="T447" s="4"/>
      <c r="U447" s="4"/>
      <c r="V447" s="4"/>
      <c r="W447" s="4">
        <v>0</v>
      </c>
      <c r="X447" s="4">
        <v>1</v>
      </c>
      <c r="Y447" s="4">
        <v>0</v>
      </c>
      <c r="Z447" s="4"/>
      <c r="AA447" s="4"/>
      <c r="AB447" s="4"/>
    </row>
    <row r="448" spans="1:28" x14ac:dyDescent="0.2">
      <c r="A448" s="4">
        <v>50</v>
      </c>
      <c r="B448" s="4">
        <v>0</v>
      </c>
      <c r="C448" s="4">
        <v>0</v>
      </c>
      <c r="D448" s="4">
        <v>1</v>
      </c>
      <c r="E448" s="4">
        <v>206</v>
      </c>
      <c r="F448" s="4">
        <f>ROUND(Source!T427,O448)</f>
        <v>0</v>
      </c>
      <c r="G448" s="4" t="s">
        <v>196</v>
      </c>
      <c r="H448" s="4" t="s">
        <v>197</v>
      </c>
      <c r="I448" s="4"/>
      <c r="J448" s="4"/>
      <c r="K448" s="4">
        <v>206</v>
      </c>
      <c r="L448" s="4">
        <v>20</v>
      </c>
      <c r="M448" s="4">
        <v>3</v>
      </c>
      <c r="N448" s="4" t="s">
        <v>3</v>
      </c>
      <c r="O448" s="4">
        <v>2</v>
      </c>
      <c r="P448" s="4"/>
      <c r="Q448" s="4"/>
      <c r="R448" s="4"/>
      <c r="S448" s="4"/>
      <c r="T448" s="4"/>
      <c r="U448" s="4"/>
      <c r="V448" s="4"/>
      <c r="W448" s="4">
        <v>0</v>
      </c>
      <c r="X448" s="4">
        <v>1</v>
      </c>
      <c r="Y448" s="4">
        <v>0</v>
      </c>
      <c r="Z448" s="4"/>
      <c r="AA448" s="4"/>
      <c r="AB448" s="4"/>
    </row>
    <row r="449" spans="1:50" x14ac:dyDescent="0.2">
      <c r="A449" s="4">
        <v>50</v>
      </c>
      <c r="B449" s="4">
        <v>0</v>
      </c>
      <c r="C449" s="4">
        <v>0</v>
      </c>
      <c r="D449" s="4">
        <v>1</v>
      </c>
      <c r="E449" s="4">
        <v>207</v>
      </c>
      <c r="F449" s="4">
        <f>Source!U427</f>
        <v>1651.99647</v>
      </c>
      <c r="G449" s="4" t="s">
        <v>198</v>
      </c>
      <c r="H449" s="4" t="s">
        <v>199</v>
      </c>
      <c r="I449" s="4"/>
      <c r="J449" s="4"/>
      <c r="K449" s="4">
        <v>207</v>
      </c>
      <c r="L449" s="4">
        <v>21</v>
      </c>
      <c r="M449" s="4">
        <v>3</v>
      </c>
      <c r="N449" s="4" t="s">
        <v>3</v>
      </c>
      <c r="O449" s="4">
        <v>-1</v>
      </c>
      <c r="P449" s="4"/>
      <c r="Q449" s="4"/>
      <c r="R449" s="4"/>
      <c r="S449" s="4"/>
      <c r="T449" s="4"/>
      <c r="U449" s="4"/>
      <c r="V449" s="4"/>
      <c r="W449" s="4">
        <v>1651.9964700000003</v>
      </c>
      <c r="X449" s="4">
        <v>1</v>
      </c>
      <c r="Y449" s="4">
        <v>1651.9964700000003</v>
      </c>
      <c r="Z449" s="4"/>
      <c r="AA449" s="4"/>
      <c r="AB449" s="4"/>
    </row>
    <row r="450" spans="1:50" x14ac:dyDescent="0.2">
      <c r="A450" s="4">
        <v>50</v>
      </c>
      <c r="B450" s="4">
        <v>0</v>
      </c>
      <c r="C450" s="4">
        <v>0</v>
      </c>
      <c r="D450" s="4">
        <v>1</v>
      </c>
      <c r="E450" s="4">
        <v>208</v>
      </c>
      <c r="F450" s="4">
        <f>Source!V427</f>
        <v>0</v>
      </c>
      <c r="G450" s="4" t="s">
        <v>200</v>
      </c>
      <c r="H450" s="4" t="s">
        <v>201</v>
      </c>
      <c r="I450" s="4"/>
      <c r="J450" s="4"/>
      <c r="K450" s="4">
        <v>208</v>
      </c>
      <c r="L450" s="4">
        <v>22</v>
      </c>
      <c r="M450" s="4">
        <v>3</v>
      </c>
      <c r="N450" s="4" t="s">
        <v>3</v>
      </c>
      <c r="O450" s="4">
        <v>-1</v>
      </c>
      <c r="P450" s="4"/>
      <c r="Q450" s="4"/>
      <c r="R450" s="4"/>
      <c r="S450" s="4"/>
      <c r="T450" s="4"/>
      <c r="U450" s="4"/>
      <c r="V450" s="4"/>
      <c r="W450" s="4">
        <v>0</v>
      </c>
      <c r="X450" s="4">
        <v>1</v>
      </c>
      <c r="Y450" s="4">
        <v>0</v>
      </c>
      <c r="Z450" s="4"/>
      <c r="AA450" s="4"/>
      <c r="AB450" s="4"/>
    </row>
    <row r="451" spans="1:50" x14ac:dyDescent="0.2">
      <c r="A451" s="4">
        <v>50</v>
      </c>
      <c r="B451" s="4">
        <v>0</v>
      </c>
      <c r="C451" s="4">
        <v>0</v>
      </c>
      <c r="D451" s="4">
        <v>1</v>
      </c>
      <c r="E451" s="4">
        <v>209</v>
      </c>
      <c r="F451" s="4">
        <f>ROUND(Source!W427,O451)</f>
        <v>0</v>
      </c>
      <c r="G451" s="4" t="s">
        <v>202</v>
      </c>
      <c r="H451" s="4" t="s">
        <v>203</v>
      </c>
      <c r="I451" s="4"/>
      <c r="J451" s="4"/>
      <c r="K451" s="4">
        <v>209</v>
      </c>
      <c r="L451" s="4">
        <v>23</v>
      </c>
      <c r="M451" s="4">
        <v>3</v>
      </c>
      <c r="N451" s="4" t="s">
        <v>3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50" x14ac:dyDescent="0.2">
      <c r="A452" s="4">
        <v>50</v>
      </c>
      <c r="B452" s="4">
        <v>0</v>
      </c>
      <c r="C452" s="4">
        <v>0</v>
      </c>
      <c r="D452" s="4">
        <v>1</v>
      </c>
      <c r="E452" s="4">
        <v>233</v>
      </c>
      <c r="F452" s="4">
        <f>ROUND(Source!BD427,O452)</f>
        <v>0</v>
      </c>
      <c r="G452" s="4" t="s">
        <v>204</v>
      </c>
      <c r="H452" s="4" t="s">
        <v>205</v>
      </c>
      <c r="I452" s="4"/>
      <c r="J452" s="4"/>
      <c r="K452" s="4">
        <v>233</v>
      </c>
      <c r="L452" s="4">
        <v>24</v>
      </c>
      <c r="M452" s="4">
        <v>3</v>
      </c>
      <c r="N452" s="4" t="s">
        <v>3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0</v>
      </c>
      <c r="X452" s="4">
        <v>1</v>
      </c>
      <c r="Y452" s="4">
        <v>0</v>
      </c>
      <c r="Z452" s="4"/>
      <c r="AA452" s="4"/>
      <c r="AB452" s="4"/>
    </row>
    <row r="453" spans="1:50" x14ac:dyDescent="0.2">
      <c r="A453" s="4">
        <v>50</v>
      </c>
      <c r="B453" s="4">
        <v>0</v>
      </c>
      <c r="C453" s="4">
        <v>0</v>
      </c>
      <c r="D453" s="4">
        <v>1</v>
      </c>
      <c r="E453" s="4">
        <v>210</v>
      </c>
      <c r="F453" s="4">
        <f>ROUND(Source!X427,O453)</f>
        <v>467422.2</v>
      </c>
      <c r="G453" s="4" t="s">
        <v>206</v>
      </c>
      <c r="H453" s="4" t="s">
        <v>207</v>
      </c>
      <c r="I453" s="4"/>
      <c r="J453" s="4"/>
      <c r="K453" s="4">
        <v>210</v>
      </c>
      <c r="L453" s="4">
        <v>25</v>
      </c>
      <c r="M453" s="4">
        <v>3</v>
      </c>
      <c r="N453" s="4" t="s">
        <v>3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467422.2</v>
      </c>
      <c r="X453" s="4">
        <v>1</v>
      </c>
      <c r="Y453" s="4">
        <v>467422.2</v>
      </c>
      <c r="Z453" s="4"/>
      <c r="AA453" s="4"/>
      <c r="AB453" s="4"/>
    </row>
    <row r="454" spans="1:50" x14ac:dyDescent="0.2">
      <c r="A454" s="4">
        <v>50</v>
      </c>
      <c r="B454" s="4">
        <v>0</v>
      </c>
      <c r="C454" s="4">
        <v>0</v>
      </c>
      <c r="D454" s="4">
        <v>1</v>
      </c>
      <c r="E454" s="4">
        <v>211</v>
      </c>
      <c r="F454" s="4">
        <f>ROUND(Source!Y427,O454)</f>
        <v>237744.93</v>
      </c>
      <c r="G454" s="4" t="s">
        <v>208</v>
      </c>
      <c r="H454" s="4" t="s">
        <v>209</v>
      </c>
      <c r="I454" s="4"/>
      <c r="J454" s="4"/>
      <c r="K454" s="4">
        <v>211</v>
      </c>
      <c r="L454" s="4">
        <v>26</v>
      </c>
      <c r="M454" s="4">
        <v>3</v>
      </c>
      <c r="N454" s="4" t="s">
        <v>3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237744.93</v>
      </c>
      <c r="X454" s="4">
        <v>1</v>
      </c>
      <c r="Y454" s="4">
        <v>237744.93</v>
      </c>
      <c r="Z454" s="4"/>
      <c r="AA454" s="4"/>
      <c r="AB454" s="4"/>
    </row>
    <row r="455" spans="1:50" x14ac:dyDescent="0.2">
      <c r="A455" s="4">
        <v>50</v>
      </c>
      <c r="B455" s="4">
        <v>0</v>
      </c>
      <c r="C455" s="4">
        <v>0</v>
      </c>
      <c r="D455" s="4">
        <v>1</v>
      </c>
      <c r="E455" s="4">
        <v>224</v>
      </c>
      <c r="F455" s="4">
        <f>ROUND(Source!AR427,O455)</f>
        <v>2496233.31</v>
      </c>
      <c r="G455" s="4" t="s">
        <v>210</v>
      </c>
      <c r="H455" s="4" t="s">
        <v>211</v>
      </c>
      <c r="I455" s="4"/>
      <c r="J455" s="4"/>
      <c r="K455" s="4">
        <v>224</v>
      </c>
      <c r="L455" s="4">
        <v>27</v>
      </c>
      <c r="M455" s="4">
        <v>3</v>
      </c>
      <c r="N455" s="4" t="s">
        <v>3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2496233.31</v>
      </c>
      <c r="X455" s="4">
        <v>1</v>
      </c>
      <c r="Y455" s="4">
        <v>2496233.31</v>
      </c>
      <c r="Z455" s="4"/>
      <c r="AA455" s="4"/>
      <c r="AB455" s="4"/>
    </row>
    <row r="456" spans="1:50" x14ac:dyDescent="0.2">
      <c r="A456" s="4">
        <v>50</v>
      </c>
      <c r="B456" s="4">
        <v>0</v>
      </c>
      <c r="C456" s="4">
        <v>0</v>
      </c>
      <c r="D456" s="4">
        <v>2</v>
      </c>
      <c r="E456" s="4">
        <v>0</v>
      </c>
      <c r="F456" s="4">
        <f>ROUND(F455,O456)</f>
        <v>2496233.31</v>
      </c>
      <c r="G456" s="4" t="s">
        <v>629</v>
      </c>
      <c r="H456" s="4" t="s">
        <v>625</v>
      </c>
      <c r="I456" s="4"/>
      <c r="J456" s="4"/>
      <c r="K456" s="4">
        <v>212</v>
      </c>
      <c r="L456" s="4">
        <v>28</v>
      </c>
      <c r="M456" s="4">
        <v>0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2496233.31</v>
      </c>
      <c r="X456" s="4">
        <v>1</v>
      </c>
      <c r="Y456" s="4">
        <v>2496233.31</v>
      </c>
      <c r="Z456" s="4"/>
      <c r="AA456" s="4"/>
      <c r="AB456" s="4"/>
    </row>
    <row r="457" spans="1:50" x14ac:dyDescent="0.2">
      <c r="A457" s="4">
        <v>50</v>
      </c>
      <c r="B457" s="4">
        <v>0</v>
      </c>
      <c r="C457" s="4">
        <v>0</v>
      </c>
      <c r="D457" s="4">
        <v>2</v>
      </c>
      <c r="E457" s="4">
        <v>0</v>
      </c>
      <c r="F457" s="4">
        <f>ROUND(F456*0.2,O457)</f>
        <v>499246.66</v>
      </c>
      <c r="G457" s="4" t="s">
        <v>630</v>
      </c>
      <c r="H457" s="4" t="s">
        <v>627</v>
      </c>
      <c r="I457" s="4"/>
      <c r="J457" s="4"/>
      <c r="K457" s="4">
        <v>212</v>
      </c>
      <c r="L457" s="4">
        <v>30</v>
      </c>
      <c r="M457" s="4">
        <v>0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499246.66</v>
      </c>
      <c r="X457" s="4">
        <v>1</v>
      </c>
      <c r="Y457" s="4">
        <v>499246.66</v>
      </c>
      <c r="Z457" s="4"/>
      <c r="AA457" s="4"/>
      <c r="AB457" s="4"/>
    </row>
    <row r="458" spans="1:50" x14ac:dyDescent="0.2">
      <c r="A458" s="4">
        <v>50</v>
      </c>
      <c r="B458" s="4">
        <v>0</v>
      </c>
      <c r="C458" s="4">
        <v>0</v>
      </c>
      <c r="D458" s="4">
        <v>2</v>
      </c>
      <c r="E458" s="4">
        <v>213</v>
      </c>
      <c r="F458" s="4">
        <f>ROUND(F457+F456,O458)</f>
        <v>2995479.97</v>
      </c>
      <c r="G458" s="4" t="s">
        <v>631</v>
      </c>
      <c r="H458" s="4" t="s">
        <v>210</v>
      </c>
      <c r="I458" s="4"/>
      <c r="J458" s="4"/>
      <c r="K458" s="4">
        <v>212</v>
      </c>
      <c r="L458" s="4">
        <v>31</v>
      </c>
      <c r="M458" s="4">
        <v>0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2995479.97</v>
      </c>
      <c r="X458" s="4">
        <v>1</v>
      </c>
      <c r="Y458" s="4">
        <v>2995479.97</v>
      </c>
      <c r="Z458" s="4"/>
      <c r="AA458" s="4"/>
      <c r="AB458" s="4"/>
    </row>
    <row r="461" spans="1:50" x14ac:dyDescent="0.2">
      <c r="A461">
        <v>-1</v>
      </c>
    </row>
    <row r="463" spans="1:50" x14ac:dyDescent="0.2">
      <c r="A463" s="3">
        <v>75</v>
      </c>
      <c r="B463" s="3" t="s">
        <v>632</v>
      </c>
      <c r="C463" s="3">
        <v>2023</v>
      </c>
      <c r="D463" s="3">
        <v>0</v>
      </c>
      <c r="E463" s="3">
        <v>12</v>
      </c>
      <c r="F463" s="3"/>
      <c r="G463" s="3">
        <v>0</v>
      </c>
      <c r="H463" s="3">
        <v>2</v>
      </c>
      <c r="I463" s="3">
        <v>1</v>
      </c>
      <c r="J463" s="3">
        <v>1</v>
      </c>
      <c r="K463" s="3">
        <v>95</v>
      </c>
      <c r="L463" s="3">
        <v>65</v>
      </c>
      <c r="M463" s="3">
        <v>0</v>
      </c>
      <c r="N463" s="3">
        <v>53860087</v>
      </c>
      <c r="O463" s="3">
        <v>1</v>
      </c>
    </row>
    <row r="464" spans="1:50" x14ac:dyDescent="0.2">
      <c r="A464" s="5">
        <v>1</v>
      </c>
      <c r="B464" s="5" t="s">
        <v>633</v>
      </c>
      <c r="C464" s="5" t="s">
        <v>634</v>
      </c>
      <c r="D464" s="5">
        <v>2024</v>
      </c>
      <c r="E464" s="5">
        <v>2</v>
      </c>
      <c r="F464" s="5">
        <v>1</v>
      </c>
      <c r="G464" s="5">
        <v>1</v>
      </c>
      <c r="H464" s="5">
        <v>0</v>
      </c>
      <c r="I464" s="5">
        <v>2</v>
      </c>
      <c r="J464" s="5">
        <v>1</v>
      </c>
      <c r="K464" s="5">
        <v>1</v>
      </c>
      <c r="L464" s="5">
        <v>1</v>
      </c>
      <c r="M464" s="5">
        <v>1</v>
      </c>
      <c r="N464" s="5">
        <v>1</v>
      </c>
      <c r="O464" s="5">
        <v>1</v>
      </c>
      <c r="P464" s="5">
        <v>1</v>
      </c>
      <c r="Q464" s="5">
        <v>1</v>
      </c>
      <c r="R464" s="5" t="s">
        <v>3</v>
      </c>
      <c r="S464" s="5" t="s">
        <v>3</v>
      </c>
      <c r="T464" s="5" t="s">
        <v>3</v>
      </c>
      <c r="U464" s="5" t="s">
        <v>3</v>
      </c>
      <c r="V464" s="5" t="s">
        <v>3</v>
      </c>
      <c r="W464" s="5" t="s">
        <v>3</v>
      </c>
      <c r="X464" s="5" t="s">
        <v>3</v>
      </c>
      <c r="Y464" s="5" t="s">
        <v>3</v>
      </c>
      <c r="Z464" s="5" t="s">
        <v>3</v>
      </c>
      <c r="AA464" s="5" t="s">
        <v>635</v>
      </c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>
        <v>53860088</v>
      </c>
      <c r="AO464" s="5"/>
      <c r="AP464" s="5"/>
      <c r="AQ464" s="5"/>
      <c r="AR464" s="5"/>
      <c r="AS464" s="5"/>
      <c r="AT464" s="5"/>
      <c r="AU464" s="5"/>
      <c r="AV464" s="5"/>
      <c r="AW464" s="5"/>
      <c r="AX464" s="5"/>
    </row>
    <row r="465" spans="1:50" x14ac:dyDescent="0.2">
      <c r="A465" s="5">
        <v>1</v>
      </c>
      <c r="B465" s="5" t="s">
        <v>633</v>
      </c>
      <c r="C465" s="5" t="s">
        <v>636</v>
      </c>
      <c r="D465" s="5">
        <v>2024</v>
      </c>
      <c r="E465" s="5">
        <v>2</v>
      </c>
      <c r="F465" s="5">
        <v>1</v>
      </c>
      <c r="G465" s="5">
        <v>1</v>
      </c>
      <c r="H465" s="5">
        <v>0</v>
      </c>
      <c r="I465" s="5">
        <v>2</v>
      </c>
      <c r="J465" s="5">
        <v>1</v>
      </c>
      <c r="K465" s="5">
        <v>1</v>
      </c>
      <c r="L465" s="5">
        <v>1</v>
      </c>
      <c r="M465" s="5">
        <v>1</v>
      </c>
      <c r="N465" s="5">
        <v>1</v>
      </c>
      <c r="O465" s="5">
        <v>1</v>
      </c>
      <c r="P465" s="5">
        <v>1</v>
      </c>
      <c r="Q465" s="5">
        <v>1</v>
      </c>
      <c r="R465" s="5" t="s">
        <v>3</v>
      </c>
      <c r="S465" s="5" t="s">
        <v>3</v>
      </c>
      <c r="T465" s="5" t="s">
        <v>3</v>
      </c>
      <c r="U465" s="5" t="s">
        <v>3</v>
      </c>
      <c r="V465" s="5" t="s">
        <v>3</v>
      </c>
      <c r="W465" s="5" t="s">
        <v>3</v>
      </c>
      <c r="X465" s="5" t="s">
        <v>3</v>
      </c>
      <c r="Y465" s="5" t="s">
        <v>3</v>
      </c>
      <c r="Z465" s="5" t="s">
        <v>3</v>
      </c>
      <c r="AA465" s="5" t="s">
        <v>3</v>
      </c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>
        <v>53860089</v>
      </c>
      <c r="AO465" s="5"/>
      <c r="AP465" s="5"/>
      <c r="AQ465" s="5"/>
      <c r="AR465" s="5"/>
      <c r="AS465" s="5"/>
      <c r="AT465" s="5"/>
      <c r="AU465" s="5"/>
      <c r="AV465" s="5"/>
      <c r="AW465" s="5"/>
      <c r="AX465" s="5"/>
    </row>
    <row r="469" spans="1:50" x14ac:dyDescent="0.2">
      <c r="A469">
        <v>65</v>
      </c>
      <c r="C469">
        <v>1</v>
      </c>
      <c r="D469">
        <v>0</v>
      </c>
      <c r="E46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637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64917</v>
      </c>
      <c r="M1">
        <v>10</v>
      </c>
      <c r="N1">
        <v>11</v>
      </c>
      <c r="O1">
        <v>8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18874376</v>
      </c>
      <c r="CI12" s="1" t="s">
        <v>3</v>
      </c>
      <c r="CJ12" s="1" t="s">
        <v>3</v>
      </c>
      <c r="CK12" s="1">
        <v>71</v>
      </c>
      <c r="CL12" s="1"/>
      <c r="CM12" s="1"/>
      <c r="CN12" s="1"/>
      <c r="CO12" s="1"/>
      <c r="CP12" s="1"/>
      <c r="CQ12" s="1" t="s">
        <v>11</v>
      </c>
      <c r="CR12" s="1" t="s">
        <v>12</v>
      </c>
      <c r="CS12" s="1">
        <v>41660</v>
      </c>
      <c r="CT12" s="1">
        <v>1</v>
      </c>
      <c r="CU12" s="1">
        <v>71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53860087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3</v>
      </c>
      <c r="D16" s="6" t="s">
        <v>13</v>
      </c>
      <c r="E16" s="7">
        <f>ROUND((Source!F411)/1000,2)</f>
        <v>2429.0300000000002</v>
      </c>
      <c r="F16" s="7">
        <f>ROUND((Source!F412)/1000,2)</f>
        <v>0</v>
      </c>
      <c r="G16" s="7">
        <f>ROUND((Source!F403)/1000,2)</f>
        <v>0</v>
      </c>
      <c r="H16" s="7">
        <f>ROUND((Source!F413)/1000+(Source!F414)/1000,2)</f>
        <v>67.2</v>
      </c>
      <c r="I16" s="7">
        <f>E16+F16+G16+H16</f>
        <v>2496.23</v>
      </c>
      <c r="J16" s="7">
        <f>ROUND((Source!F409+Source!F408)/1000,2)</f>
        <v>600.41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1758191.19</v>
      </c>
      <c r="AU16" s="7">
        <v>1073893.7</v>
      </c>
      <c r="AV16" s="7">
        <v>0</v>
      </c>
      <c r="AW16" s="7">
        <v>0</v>
      </c>
      <c r="AX16" s="7">
        <v>0</v>
      </c>
      <c r="AY16" s="7">
        <v>104431.81</v>
      </c>
      <c r="AZ16" s="7">
        <v>20546.87</v>
      </c>
      <c r="BA16" s="7">
        <v>579865.68000000005</v>
      </c>
      <c r="BB16" s="7">
        <v>2429034.33</v>
      </c>
      <c r="BC16" s="7">
        <v>0</v>
      </c>
      <c r="BD16" s="7">
        <v>67198.98</v>
      </c>
      <c r="BE16" s="7">
        <v>0</v>
      </c>
      <c r="BF16" s="7">
        <v>1651.9964700000003</v>
      </c>
      <c r="BG16" s="7">
        <v>0</v>
      </c>
      <c r="BH16" s="7">
        <v>0</v>
      </c>
      <c r="BI16" s="7">
        <v>467422.2</v>
      </c>
      <c r="BJ16" s="7">
        <v>237744.93</v>
      </c>
      <c r="BK16" s="7">
        <v>2496233.31</v>
      </c>
    </row>
    <row r="18" spans="1:19" x14ac:dyDescent="0.2">
      <c r="A18">
        <v>51</v>
      </c>
      <c r="E18" s="8">
        <f>SUMIF(A16:A17,3,E16:E17)</f>
        <v>2429.0300000000002</v>
      </c>
      <c r="F18" s="8">
        <f>SUMIF(A16:A17,3,F16:F17)</f>
        <v>0</v>
      </c>
      <c r="G18" s="8">
        <f>SUMIF(A16:A17,3,G16:G17)</f>
        <v>0</v>
      </c>
      <c r="H18" s="8">
        <f>SUMIF(A16:A17,3,H16:H17)</f>
        <v>67.2</v>
      </c>
      <c r="I18" s="8">
        <f>SUMIF(A16:A17,3,I16:I17)</f>
        <v>2496.23</v>
      </c>
      <c r="J18" s="8">
        <f>SUMIF(A16:A17,3,J16:J17)</f>
        <v>600.41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1758191.19</v>
      </c>
      <c r="G20" s="4" t="s">
        <v>159</v>
      </c>
      <c r="H20" s="4" t="s">
        <v>160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1073893.7</v>
      </c>
      <c r="G21" s="4" t="s">
        <v>161</v>
      </c>
      <c r="H21" s="4" t="s">
        <v>162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163</v>
      </c>
      <c r="H22" s="4" t="s">
        <v>164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1073893.7</v>
      </c>
      <c r="G23" s="4" t="s">
        <v>165</v>
      </c>
      <c r="H23" s="4" t="s">
        <v>166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1073893.7</v>
      </c>
      <c r="G24" s="4" t="s">
        <v>167</v>
      </c>
      <c r="H24" s="4" t="s">
        <v>168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169</v>
      </c>
      <c r="H25" s="4" t="s">
        <v>170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1073893.7</v>
      </c>
      <c r="G26" s="4" t="s">
        <v>171</v>
      </c>
      <c r="H26" s="4" t="s">
        <v>172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173</v>
      </c>
      <c r="H27" s="4" t="s">
        <v>174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175</v>
      </c>
      <c r="H28" s="4" t="s">
        <v>176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177</v>
      </c>
      <c r="H29" s="4" t="s">
        <v>178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104431.81</v>
      </c>
      <c r="G30" s="4" t="s">
        <v>179</v>
      </c>
      <c r="H30" s="4" t="s">
        <v>180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181</v>
      </c>
      <c r="H31" s="4" t="s">
        <v>182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20546.87</v>
      </c>
      <c r="G32" s="4" t="s">
        <v>183</v>
      </c>
      <c r="H32" s="4" t="s">
        <v>184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579865.68000000005</v>
      </c>
      <c r="G33" s="4" t="s">
        <v>185</v>
      </c>
      <c r="H33" s="4" t="s">
        <v>186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187</v>
      </c>
      <c r="H34" s="4" t="s">
        <v>188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2429034.33</v>
      </c>
      <c r="G35" s="4" t="s">
        <v>189</v>
      </c>
      <c r="H35" s="4" t="s">
        <v>190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46</v>
      </c>
      <c r="H36" s="4" t="s">
        <v>191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67198.98</v>
      </c>
      <c r="G37" s="4" t="s">
        <v>192</v>
      </c>
      <c r="H37" s="4" t="s">
        <v>193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194</v>
      </c>
      <c r="H38" s="4" t="s">
        <v>195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196</v>
      </c>
      <c r="H39" s="4" t="s">
        <v>197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1651.9964700000003</v>
      </c>
      <c r="G40" s="4" t="s">
        <v>198</v>
      </c>
      <c r="H40" s="4" t="s">
        <v>199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200</v>
      </c>
      <c r="H41" s="4" t="s">
        <v>201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202</v>
      </c>
      <c r="H42" s="4" t="s">
        <v>203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204</v>
      </c>
      <c r="H43" s="4" t="s">
        <v>205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467422.2</v>
      </c>
      <c r="G44" s="4" t="s">
        <v>206</v>
      </c>
      <c r="H44" s="4" t="s">
        <v>207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237744.93</v>
      </c>
      <c r="G45" s="4" t="s">
        <v>208</v>
      </c>
      <c r="H45" s="4" t="s">
        <v>209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2496233.31</v>
      </c>
      <c r="G46" s="4" t="s">
        <v>210</v>
      </c>
      <c r="H46" s="4" t="s">
        <v>211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0</v>
      </c>
      <c r="C47" s="4">
        <v>0</v>
      </c>
      <c r="D47" s="4">
        <v>2</v>
      </c>
      <c r="E47" s="4">
        <v>0</v>
      </c>
      <c r="F47" s="4">
        <v>2496233.31</v>
      </c>
      <c r="G47" s="4" t="s">
        <v>629</v>
      </c>
      <c r="H47" s="4" t="s">
        <v>625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0</v>
      </c>
      <c r="C48" s="4">
        <v>0</v>
      </c>
      <c r="D48" s="4">
        <v>2</v>
      </c>
      <c r="E48" s="4">
        <v>0</v>
      </c>
      <c r="F48" s="4">
        <v>499246.66</v>
      </c>
      <c r="G48" s="4" t="s">
        <v>630</v>
      </c>
      <c r="H48" s="4" t="s">
        <v>627</v>
      </c>
      <c r="I48" s="4"/>
      <c r="J48" s="4"/>
      <c r="K48" s="4">
        <v>212</v>
      </c>
      <c r="L48" s="4">
        <v>30</v>
      </c>
      <c r="M48" s="4">
        <v>0</v>
      </c>
      <c r="N48" s="4" t="s">
        <v>3</v>
      </c>
      <c r="O48" s="4">
        <v>2</v>
      </c>
      <c r="P48" s="4"/>
    </row>
    <row r="49" spans="1:50" x14ac:dyDescent="0.2">
      <c r="A49" s="4">
        <v>50</v>
      </c>
      <c r="B49" s="4">
        <v>0</v>
      </c>
      <c r="C49" s="4">
        <v>0</v>
      </c>
      <c r="D49" s="4">
        <v>2</v>
      </c>
      <c r="E49" s="4">
        <v>213</v>
      </c>
      <c r="F49" s="4">
        <v>2995479.97</v>
      </c>
      <c r="G49" s="4" t="s">
        <v>631</v>
      </c>
      <c r="H49" s="4" t="s">
        <v>210</v>
      </c>
      <c r="I49" s="4"/>
      <c r="J49" s="4"/>
      <c r="K49" s="4">
        <v>212</v>
      </c>
      <c r="L49" s="4">
        <v>31</v>
      </c>
      <c r="M49" s="4">
        <v>0</v>
      </c>
      <c r="N49" s="4" t="s">
        <v>3</v>
      </c>
      <c r="O49" s="4">
        <v>2</v>
      </c>
      <c r="P49" s="4"/>
    </row>
    <row r="51" spans="1:50" x14ac:dyDescent="0.2">
      <c r="A51">
        <v>-1</v>
      </c>
    </row>
    <row r="54" spans="1:50" x14ac:dyDescent="0.2">
      <c r="A54" s="3">
        <v>75</v>
      </c>
      <c r="B54" s="3" t="s">
        <v>632</v>
      </c>
      <c r="C54" s="3">
        <v>2023</v>
      </c>
      <c r="D54" s="3">
        <v>0</v>
      </c>
      <c r="E54" s="3">
        <v>12</v>
      </c>
      <c r="F54" s="3"/>
      <c r="G54" s="3">
        <v>0</v>
      </c>
      <c r="H54" s="3">
        <v>2</v>
      </c>
      <c r="I54" s="3">
        <v>1</v>
      </c>
      <c r="J54" s="3">
        <v>1</v>
      </c>
      <c r="K54" s="3">
        <v>95</v>
      </c>
      <c r="L54" s="3">
        <v>65</v>
      </c>
      <c r="M54" s="3">
        <v>0</v>
      </c>
      <c r="N54" s="3">
        <v>53860087</v>
      </c>
      <c r="O54" s="3">
        <v>1</v>
      </c>
    </row>
    <row r="55" spans="1:50" x14ac:dyDescent="0.2">
      <c r="A55" s="5">
        <v>1</v>
      </c>
      <c r="B55" s="5" t="s">
        <v>633</v>
      </c>
      <c r="C55" s="5" t="s">
        <v>634</v>
      </c>
      <c r="D55" s="5">
        <v>2024</v>
      </c>
      <c r="E55" s="5">
        <v>2</v>
      </c>
      <c r="F55" s="5">
        <v>1</v>
      </c>
      <c r="G55" s="5">
        <v>1</v>
      </c>
      <c r="H55" s="5">
        <v>0</v>
      </c>
      <c r="I55" s="5">
        <v>2</v>
      </c>
      <c r="J55" s="5">
        <v>1</v>
      </c>
      <c r="K55" s="5">
        <v>1</v>
      </c>
      <c r="L55" s="5">
        <v>1</v>
      </c>
      <c r="M55" s="5">
        <v>1</v>
      </c>
      <c r="N55" s="5">
        <v>1</v>
      </c>
      <c r="O55" s="5">
        <v>1</v>
      </c>
      <c r="P55" s="5">
        <v>1</v>
      </c>
      <c r="Q55" s="5">
        <v>1</v>
      </c>
      <c r="R55" s="5" t="s">
        <v>3</v>
      </c>
      <c r="S55" s="5" t="s">
        <v>3</v>
      </c>
      <c r="T55" s="5" t="s">
        <v>3</v>
      </c>
      <c r="U55" s="5" t="s">
        <v>3</v>
      </c>
      <c r="V55" s="5" t="s">
        <v>3</v>
      </c>
      <c r="W55" s="5" t="s">
        <v>3</v>
      </c>
      <c r="X55" s="5" t="s">
        <v>3</v>
      </c>
      <c r="Y55" s="5" t="s">
        <v>3</v>
      </c>
      <c r="Z55" s="5" t="s">
        <v>3</v>
      </c>
      <c r="AA55" s="5" t="s">
        <v>635</v>
      </c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>
        <v>53860088</v>
      </c>
      <c r="AO55" s="5"/>
      <c r="AP55" s="5"/>
      <c r="AQ55" s="5"/>
      <c r="AR55" s="5"/>
      <c r="AS55" s="5"/>
      <c r="AT55" s="5"/>
      <c r="AU55" s="5"/>
      <c r="AV55" s="5"/>
      <c r="AW55" s="5"/>
      <c r="AX55" s="5"/>
    </row>
    <row r="56" spans="1:50" x14ac:dyDescent="0.2">
      <c r="A56" s="5">
        <v>1</v>
      </c>
      <c r="B56" s="5" t="s">
        <v>633</v>
      </c>
      <c r="C56" s="5" t="s">
        <v>636</v>
      </c>
      <c r="D56" s="5">
        <v>2024</v>
      </c>
      <c r="E56" s="5">
        <v>2</v>
      </c>
      <c r="F56" s="5">
        <v>1</v>
      </c>
      <c r="G56" s="5">
        <v>1</v>
      </c>
      <c r="H56" s="5">
        <v>0</v>
      </c>
      <c r="I56" s="5">
        <v>2</v>
      </c>
      <c r="J56" s="5">
        <v>1</v>
      </c>
      <c r="K56" s="5">
        <v>1</v>
      </c>
      <c r="L56" s="5">
        <v>1</v>
      </c>
      <c r="M56" s="5">
        <v>1</v>
      </c>
      <c r="N56" s="5">
        <v>1</v>
      </c>
      <c r="O56" s="5">
        <v>1</v>
      </c>
      <c r="P56" s="5">
        <v>1</v>
      </c>
      <c r="Q56" s="5">
        <v>1</v>
      </c>
      <c r="R56" s="5" t="s">
        <v>3</v>
      </c>
      <c r="S56" s="5" t="s">
        <v>3</v>
      </c>
      <c r="T56" s="5" t="s">
        <v>3</v>
      </c>
      <c r="U56" s="5" t="s">
        <v>3</v>
      </c>
      <c r="V56" s="5" t="s">
        <v>3</v>
      </c>
      <c r="W56" s="5" t="s">
        <v>3</v>
      </c>
      <c r="X56" s="5" t="s">
        <v>3</v>
      </c>
      <c r="Y56" s="5" t="s">
        <v>3</v>
      </c>
      <c r="Z56" s="5" t="s">
        <v>3</v>
      </c>
      <c r="AA56" s="5" t="s">
        <v>3</v>
      </c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>
        <v>53860089</v>
      </c>
      <c r="AO56" s="5"/>
      <c r="AP56" s="5"/>
      <c r="AQ56" s="5"/>
      <c r="AR56" s="5"/>
      <c r="AS56" s="5"/>
      <c r="AT56" s="5"/>
      <c r="AU56" s="5"/>
      <c r="AV56" s="5"/>
      <c r="AW56" s="5"/>
      <c r="AX56" s="5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33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ROW(Source!A29)</f>
        <v>29</v>
      </c>
      <c r="B1">
        <v>53860087</v>
      </c>
      <c r="C1">
        <v>53860206</v>
      </c>
      <c r="D1">
        <v>29506954</v>
      </c>
      <c r="E1">
        <v>29506949</v>
      </c>
      <c r="F1">
        <v>1</v>
      </c>
      <c r="G1">
        <v>29506949</v>
      </c>
      <c r="H1">
        <v>1</v>
      </c>
      <c r="I1" t="s">
        <v>638</v>
      </c>
      <c r="J1" t="s">
        <v>3</v>
      </c>
      <c r="K1" t="s">
        <v>639</v>
      </c>
      <c r="L1">
        <v>1191</v>
      </c>
      <c r="N1">
        <v>1013</v>
      </c>
      <c r="O1" t="s">
        <v>640</v>
      </c>
      <c r="P1" t="s">
        <v>640</v>
      </c>
      <c r="Q1">
        <v>1</v>
      </c>
      <c r="W1">
        <v>0</v>
      </c>
      <c r="X1">
        <v>476480486</v>
      </c>
      <c r="Y1">
        <f t="shared" ref="Y1:Y6" si="0">AT1</f>
        <v>0.6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0.6</v>
      </c>
      <c r="AU1" t="s">
        <v>3</v>
      </c>
      <c r="AV1">
        <v>1</v>
      </c>
      <c r="AW1">
        <v>2</v>
      </c>
      <c r="AX1">
        <v>53861033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ROUND(AT1*Source!I29*AH1*AL1,2)</f>
        <v>0</v>
      </c>
      <c r="CV1">
        <f>ROUND(Y1*Source!I29,9)</f>
        <v>27</v>
      </c>
      <c r="CW1">
        <v>0</v>
      </c>
      <c r="CX1">
        <f>ROUND(Y1*Source!I29,9)</f>
        <v>27</v>
      </c>
      <c r="CY1">
        <f>AD1</f>
        <v>0</v>
      </c>
      <c r="CZ1">
        <f>AH1</f>
        <v>0</v>
      </c>
      <c r="DA1">
        <f>AL1</f>
        <v>1</v>
      </c>
      <c r="DB1">
        <f t="shared" ref="DB1:DB6" si="1">ROUND(ROUND(AT1*CZ1,2),6)</f>
        <v>0</v>
      </c>
      <c r="DC1">
        <f t="shared" ref="DC1:DC6" si="2">ROUND(ROUND(AT1*AG1,2),6)</f>
        <v>0</v>
      </c>
      <c r="DD1" t="s">
        <v>3</v>
      </c>
      <c r="DE1" t="s">
        <v>3</v>
      </c>
      <c r="DF1">
        <f t="shared" ref="DF1:DF9" si="3"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64" si="4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ROW(Source!A30)</f>
        <v>30</v>
      </c>
      <c r="B2">
        <v>53860087</v>
      </c>
      <c r="C2">
        <v>53860209</v>
      </c>
      <c r="D2">
        <v>29506954</v>
      </c>
      <c r="E2">
        <v>29506949</v>
      </c>
      <c r="F2">
        <v>1</v>
      </c>
      <c r="G2">
        <v>29506949</v>
      </c>
      <c r="H2">
        <v>1</v>
      </c>
      <c r="I2" t="s">
        <v>638</v>
      </c>
      <c r="J2" t="s">
        <v>3</v>
      </c>
      <c r="K2" t="s">
        <v>639</v>
      </c>
      <c r="L2">
        <v>1191</v>
      </c>
      <c r="N2">
        <v>1013</v>
      </c>
      <c r="O2" t="s">
        <v>640</v>
      </c>
      <c r="P2" t="s">
        <v>640</v>
      </c>
      <c r="Q2">
        <v>1</v>
      </c>
      <c r="W2">
        <v>0</v>
      </c>
      <c r="X2">
        <v>476480486</v>
      </c>
      <c r="Y2">
        <f t="shared" si="0"/>
        <v>58.6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58.6</v>
      </c>
      <c r="AU2" t="s">
        <v>3</v>
      </c>
      <c r="AV2">
        <v>1</v>
      </c>
      <c r="AW2">
        <v>2</v>
      </c>
      <c r="AX2">
        <v>53861034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ROUND(AT2*Source!I30*AH2*AL2,2)</f>
        <v>0</v>
      </c>
      <c r="CV2">
        <f>ROUND(Y2*Source!I30,9)</f>
        <v>20.51</v>
      </c>
      <c r="CW2">
        <v>0</v>
      </c>
      <c r="CX2">
        <f>ROUND(Y2*Source!I30,9)</f>
        <v>20.51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>ROUND(ROUND(AF2,2)*CX2,2)</f>
        <v>0</v>
      </c>
      <c r="DH2">
        <f>ROUND(ROUND(AG2,2)*CX2,2)</f>
        <v>0</v>
      </c>
      <c r="DI2">
        <f t="shared" si="4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ROW(Source!A30)</f>
        <v>30</v>
      </c>
      <c r="B3">
        <v>53860087</v>
      </c>
      <c r="C3">
        <v>53860209</v>
      </c>
      <c r="D3">
        <v>29507683</v>
      </c>
      <c r="E3">
        <v>29506949</v>
      </c>
      <c r="F3">
        <v>1</v>
      </c>
      <c r="G3">
        <v>29506949</v>
      </c>
      <c r="H3">
        <v>2</v>
      </c>
      <c r="I3" t="s">
        <v>641</v>
      </c>
      <c r="J3" t="s">
        <v>3</v>
      </c>
      <c r="K3" t="s">
        <v>642</v>
      </c>
      <c r="L3">
        <v>1344</v>
      </c>
      <c r="N3">
        <v>1008</v>
      </c>
      <c r="O3" t="s">
        <v>643</v>
      </c>
      <c r="P3" t="s">
        <v>643</v>
      </c>
      <c r="Q3">
        <v>1</v>
      </c>
      <c r="W3">
        <v>0</v>
      </c>
      <c r="X3">
        <v>-1180195794</v>
      </c>
      <c r="Y3">
        <f t="shared" si="0"/>
        <v>2.5</v>
      </c>
      <c r="AA3">
        <v>0</v>
      </c>
      <c r="AB3">
        <v>1.05</v>
      </c>
      <c r="AC3">
        <v>0</v>
      </c>
      <c r="AD3">
        <v>0</v>
      </c>
      <c r="AE3">
        <v>0</v>
      </c>
      <c r="AF3">
        <v>1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2.5</v>
      </c>
      <c r="AU3" t="s">
        <v>3</v>
      </c>
      <c r="AV3">
        <v>0</v>
      </c>
      <c r="AW3">
        <v>2</v>
      </c>
      <c r="AX3">
        <v>53861035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ROUND(Y3*Source!I30,9)</f>
        <v>0.875</v>
      </c>
      <c r="CX3">
        <f>ROUND(Y3*Source!I30,9)</f>
        <v>0.875</v>
      </c>
      <c r="CY3">
        <f>AB3</f>
        <v>1.05</v>
      </c>
      <c r="CZ3">
        <f>AF3</f>
        <v>1</v>
      </c>
      <c r="DA3">
        <f>AJ3</f>
        <v>1</v>
      </c>
      <c r="DB3">
        <f t="shared" si="1"/>
        <v>2.5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>ROUND(ROUND(AF3,2)*CX3,2)</f>
        <v>0.88</v>
      </c>
      <c r="DH3">
        <f>ROUND(ROUND(AG3,2)*CX3,2)</f>
        <v>0</v>
      </c>
      <c r="DI3">
        <f t="shared" si="4"/>
        <v>0</v>
      </c>
      <c r="DJ3">
        <f>DG3</f>
        <v>0.88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ROW(Source!A32)</f>
        <v>32</v>
      </c>
      <c r="B4">
        <v>53860087</v>
      </c>
      <c r="C4">
        <v>53860215</v>
      </c>
      <c r="D4">
        <v>29506954</v>
      </c>
      <c r="E4">
        <v>29506949</v>
      </c>
      <c r="F4">
        <v>1</v>
      </c>
      <c r="G4">
        <v>29506949</v>
      </c>
      <c r="H4">
        <v>1</v>
      </c>
      <c r="I4" t="s">
        <v>638</v>
      </c>
      <c r="J4" t="s">
        <v>3</v>
      </c>
      <c r="K4" t="s">
        <v>639</v>
      </c>
      <c r="L4">
        <v>1191</v>
      </c>
      <c r="N4">
        <v>1013</v>
      </c>
      <c r="O4" t="s">
        <v>640</v>
      </c>
      <c r="P4" t="s">
        <v>640</v>
      </c>
      <c r="Q4">
        <v>1</v>
      </c>
      <c r="W4">
        <v>0</v>
      </c>
      <c r="X4">
        <v>476480486</v>
      </c>
      <c r="Y4">
        <f t="shared" si="0"/>
        <v>40.06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40.06</v>
      </c>
      <c r="AU4" t="s">
        <v>3</v>
      </c>
      <c r="AV4">
        <v>1</v>
      </c>
      <c r="AW4">
        <v>2</v>
      </c>
      <c r="AX4">
        <v>53861059</v>
      </c>
      <c r="AY4">
        <v>1</v>
      </c>
      <c r="AZ4">
        <v>0</v>
      </c>
      <c r="BA4">
        <v>27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ROUND(AT4*Source!I32*AH4*AL4,2)</f>
        <v>0</v>
      </c>
      <c r="CV4">
        <f>ROUND(Y4*Source!I32,9)</f>
        <v>16.024000000000001</v>
      </c>
      <c r="CW4">
        <v>0</v>
      </c>
      <c r="CX4">
        <f>ROUND(Y4*Source!I32,9)</f>
        <v>16.024000000000001</v>
      </c>
      <c r="CY4">
        <f>AD4</f>
        <v>0</v>
      </c>
      <c r="CZ4">
        <f>AH4</f>
        <v>0</v>
      </c>
      <c r="DA4">
        <f>AL4</f>
        <v>1</v>
      </c>
      <c r="DB4">
        <f t="shared" si="1"/>
        <v>0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>ROUND(ROUND(AF4,2)*CX4,2)</f>
        <v>0</v>
      </c>
      <c r="DH4">
        <f>ROUND(ROUND(AG4,2)*CX4,2)</f>
        <v>0</v>
      </c>
      <c r="DI4">
        <f t="shared" si="4"/>
        <v>0</v>
      </c>
      <c r="DJ4">
        <f>DI4</f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ROW(Source!A32)</f>
        <v>32</v>
      </c>
      <c r="B5">
        <v>53860087</v>
      </c>
      <c r="C5">
        <v>53860215</v>
      </c>
      <c r="D5">
        <v>29580571</v>
      </c>
      <c r="E5">
        <v>1</v>
      </c>
      <c r="F5">
        <v>1</v>
      </c>
      <c r="G5">
        <v>29506949</v>
      </c>
      <c r="H5">
        <v>2</v>
      </c>
      <c r="I5" t="s">
        <v>644</v>
      </c>
      <c r="J5" t="s">
        <v>645</v>
      </c>
      <c r="K5" t="s">
        <v>646</v>
      </c>
      <c r="L5">
        <v>1368</v>
      </c>
      <c r="N5">
        <v>1011</v>
      </c>
      <c r="O5" t="s">
        <v>647</v>
      </c>
      <c r="P5" t="s">
        <v>647</v>
      </c>
      <c r="Q5">
        <v>1</v>
      </c>
      <c r="W5">
        <v>0</v>
      </c>
      <c r="X5">
        <v>-2099052417</v>
      </c>
      <c r="Y5">
        <f t="shared" si="0"/>
        <v>8.19</v>
      </c>
      <c r="AA5">
        <v>0</v>
      </c>
      <c r="AB5">
        <v>4.12</v>
      </c>
      <c r="AC5">
        <v>0</v>
      </c>
      <c r="AD5">
        <v>0</v>
      </c>
      <c r="AE5">
        <v>0</v>
      </c>
      <c r="AF5">
        <v>0.47</v>
      </c>
      <c r="AG5">
        <v>0</v>
      </c>
      <c r="AH5">
        <v>0</v>
      </c>
      <c r="AI5">
        <v>1</v>
      </c>
      <c r="AJ5">
        <v>8.5500000000000007</v>
      </c>
      <c r="AK5">
        <v>30.1</v>
      </c>
      <c r="AL5">
        <v>1</v>
      </c>
      <c r="AM5">
        <v>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8.19</v>
      </c>
      <c r="AU5" t="s">
        <v>3</v>
      </c>
      <c r="AV5">
        <v>0</v>
      </c>
      <c r="AW5">
        <v>2</v>
      </c>
      <c r="AX5">
        <v>53861060</v>
      </c>
      <c r="AY5">
        <v>1</v>
      </c>
      <c r="AZ5">
        <v>0</v>
      </c>
      <c r="BA5">
        <v>28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f>ROUND(Y5*Source!I32,9)</f>
        <v>3.2759999999999998</v>
      </c>
      <c r="CX5">
        <f>ROUND(Y5*Source!I32,9)</f>
        <v>3.2759999999999998</v>
      </c>
      <c r="CY5">
        <f>AB5</f>
        <v>4.12</v>
      </c>
      <c r="CZ5">
        <f>AF5</f>
        <v>0.47</v>
      </c>
      <c r="DA5">
        <f>AJ5</f>
        <v>8.5500000000000007</v>
      </c>
      <c r="DB5">
        <f t="shared" si="1"/>
        <v>3.85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>ROUND(ROUND(AF5*AJ5,2)*CX5,2)</f>
        <v>13.17</v>
      </c>
      <c r="DH5">
        <f>ROUND(ROUND(AG5*AK5,2)*CX5,2)</f>
        <v>0</v>
      </c>
      <c r="DI5">
        <f t="shared" si="4"/>
        <v>0</v>
      </c>
      <c r="DJ5">
        <f>DG5</f>
        <v>13.17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ROW(Source!A32)</f>
        <v>32</v>
      </c>
      <c r="B6">
        <v>53860087</v>
      </c>
      <c r="C6">
        <v>53860215</v>
      </c>
      <c r="D6">
        <v>29529074</v>
      </c>
      <c r="E6">
        <v>29506949</v>
      </c>
      <c r="F6">
        <v>1</v>
      </c>
      <c r="G6">
        <v>29506949</v>
      </c>
      <c r="H6">
        <v>3</v>
      </c>
      <c r="I6" t="s">
        <v>648</v>
      </c>
      <c r="J6" t="s">
        <v>3</v>
      </c>
      <c r="K6" t="s">
        <v>649</v>
      </c>
      <c r="L6">
        <v>1348</v>
      </c>
      <c r="N6">
        <v>1009</v>
      </c>
      <c r="O6" t="s">
        <v>75</v>
      </c>
      <c r="P6" t="s">
        <v>75</v>
      </c>
      <c r="Q6">
        <v>1000</v>
      </c>
      <c r="W6">
        <v>0</v>
      </c>
      <c r="X6">
        <v>1489638031</v>
      </c>
      <c r="Y6">
        <f t="shared" si="0"/>
        <v>0.3947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0.3947</v>
      </c>
      <c r="AU6" t="s">
        <v>3</v>
      </c>
      <c r="AV6">
        <v>0</v>
      </c>
      <c r="AW6">
        <v>2</v>
      </c>
      <c r="AX6">
        <v>53861061</v>
      </c>
      <c r="AY6">
        <v>1</v>
      </c>
      <c r="AZ6">
        <v>0</v>
      </c>
      <c r="BA6">
        <v>29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ROUND(Y6*Source!I32,9)</f>
        <v>0.15787999999999999</v>
      </c>
      <c r="CY6">
        <f>AA6</f>
        <v>0</v>
      </c>
      <c r="CZ6">
        <f>AE6</f>
        <v>0</v>
      </c>
      <c r="DA6">
        <f>AI6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>ROUND(ROUND(AF6,2)*CX6,2)</f>
        <v>0</v>
      </c>
      <c r="DH6">
        <f>ROUND(ROUND(AG6,2)*CX6,2)</f>
        <v>0</v>
      </c>
      <c r="DI6">
        <f t="shared" si="4"/>
        <v>0</v>
      </c>
      <c r="DJ6">
        <f>DF6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ROW(Source!A34)</f>
        <v>34</v>
      </c>
      <c r="B7">
        <v>53860087</v>
      </c>
      <c r="C7">
        <v>53860223</v>
      </c>
      <c r="D7">
        <v>29506954</v>
      </c>
      <c r="E7">
        <v>29506949</v>
      </c>
      <c r="F7">
        <v>1</v>
      </c>
      <c r="G7">
        <v>29506949</v>
      </c>
      <c r="H7">
        <v>1</v>
      </c>
      <c r="I7" t="s">
        <v>638</v>
      </c>
      <c r="J7" t="s">
        <v>3</v>
      </c>
      <c r="K7" t="s">
        <v>639</v>
      </c>
      <c r="L7">
        <v>1191</v>
      </c>
      <c r="N7">
        <v>1013</v>
      </c>
      <c r="O7" t="s">
        <v>640</v>
      </c>
      <c r="P7" t="s">
        <v>640</v>
      </c>
      <c r="Q7">
        <v>1</v>
      </c>
      <c r="W7">
        <v>0</v>
      </c>
      <c r="X7">
        <v>476480486</v>
      </c>
      <c r="Y7">
        <f>(AT7*1.15)</f>
        <v>6.5319999999999991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5.68</v>
      </c>
      <c r="AU7" t="s">
        <v>52</v>
      </c>
      <c r="AV7">
        <v>1</v>
      </c>
      <c r="AW7">
        <v>2</v>
      </c>
      <c r="AX7">
        <v>53861062</v>
      </c>
      <c r="AY7">
        <v>1</v>
      </c>
      <c r="AZ7">
        <v>0</v>
      </c>
      <c r="BA7">
        <v>30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ROUND(AT7*Source!I34*AH7*AL7,2)</f>
        <v>0</v>
      </c>
      <c r="CV7">
        <f>ROUND(Y7*Source!I34,9)</f>
        <v>2.9394</v>
      </c>
      <c r="CW7">
        <v>0</v>
      </c>
      <c r="CX7">
        <f>ROUND(Y7*Source!I34,9)</f>
        <v>2.9394</v>
      </c>
      <c r="CY7">
        <f>AD7</f>
        <v>0</v>
      </c>
      <c r="CZ7">
        <f>AH7</f>
        <v>0</v>
      </c>
      <c r="DA7">
        <f>AL7</f>
        <v>1</v>
      </c>
      <c r="DB7">
        <f>ROUND((ROUND(AT7*CZ7,2)*1.15),6)</f>
        <v>0</v>
      </c>
      <c r="DC7">
        <f>ROUND((ROUND(AT7*AG7,2)*1.15),6)</f>
        <v>0</v>
      </c>
      <c r="DD7" t="s">
        <v>3</v>
      </c>
      <c r="DE7" t="s">
        <v>3</v>
      </c>
      <c r="DF7">
        <f t="shared" si="3"/>
        <v>0</v>
      </c>
      <c r="DG7">
        <f>ROUND(ROUND(AF7,2)*CX7,2)</f>
        <v>0</v>
      </c>
      <c r="DH7">
        <f>ROUND(ROUND(AG7,2)*CX7,2)</f>
        <v>0</v>
      </c>
      <c r="DI7">
        <f t="shared" si="4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ROW(Source!A34)</f>
        <v>34</v>
      </c>
      <c r="B8">
        <v>53860087</v>
      </c>
      <c r="C8">
        <v>53860223</v>
      </c>
      <c r="D8">
        <v>29580491</v>
      </c>
      <c r="E8">
        <v>1</v>
      </c>
      <c r="F8">
        <v>1</v>
      </c>
      <c r="G8">
        <v>29506949</v>
      </c>
      <c r="H8">
        <v>2</v>
      </c>
      <c r="I8" t="s">
        <v>650</v>
      </c>
      <c r="J8" t="s">
        <v>651</v>
      </c>
      <c r="K8" t="s">
        <v>652</v>
      </c>
      <c r="L8">
        <v>1368</v>
      </c>
      <c r="N8">
        <v>1011</v>
      </c>
      <c r="O8" t="s">
        <v>647</v>
      </c>
      <c r="P8" t="s">
        <v>647</v>
      </c>
      <c r="Q8">
        <v>1</v>
      </c>
      <c r="W8">
        <v>0</v>
      </c>
      <c r="X8">
        <v>-1440889904</v>
      </c>
      <c r="Y8">
        <f>(AT8*1.25)</f>
        <v>1.2500000000000001E-2</v>
      </c>
      <c r="AA8">
        <v>0</v>
      </c>
      <c r="AB8">
        <v>1029.8</v>
      </c>
      <c r="AC8">
        <v>389.36</v>
      </c>
      <c r="AD8">
        <v>0</v>
      </c>
      <c r="AE8">
        <v>0</v>
      </c>
      <c r="AF8">
        <v>83.1</v>
      </c>
      <c r="AG8">
        <v>12.62</v>
      </c>
      <c r="AH8">
        <v>0</v>
      </c>
      <c r="AI8">
        <v>1</v>
      </c>
      <c r="AJ8">
        <v>12.09</v>
      </c>
      <c r="AK8">
        <v>30.1</v>
      </c>
      <c r="AL8">
        <v>1</v>
      </c>
      <c r="AM8">
        <v>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0.01</v>
      </c>
      <c r="AU8" t="s">
        <v>51</v>
      </c>
      <c r="AV8">
        <v>0</v>
      </c>
      <c r="AW8">
        <v>2</v>
      </c>
      <c r="AX8">
        <v>53861063</v>
      </c>
      <c r="AY8">
        <v>1</v>
      </c>
      <c r="AZ8">
        <v>0</v>
      </c>
      <c r="BA8">
        <v>31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f>ROUND(Y8*Source!I34,9)</f>
        <v>5.6249999999999998E-3</v>
      </c>
      <c r="CX8">
        <f>ROUND(Y8*Source!I34,9)</f>
        <v>5.6249999999999998E-3</v>
      </c>
      <c r="CY8">
        <f>AB8</f>
        <v>1029.8</v>
      </c>
      <c r="CZ8">
        <f>AF8</f>
        <v>83.1</v>
      </c>
      <c r="DA8">
        <f>AJ8</f>
        <v>12.09</v>
      </c>
      <c r="DB8">
        <f>ROUND((ROUND(AT8*CZ8,2)*1.25),6)</f>
        <v>1.0375000000000001</v>
      </c>
      <c r="DC8">
        <f>ROUND((ROUND(AT8*AG8,2)*1.25),6)</f>
        <v>0.16250000000000001</v>
      </c>
      <c r="DD8" t="s">
        <v>3</v>
      </c>
      <c r="DE8" t="s">
        <v>3</v>
      </c>
      <c r="DF8">
        <f t="shared" si="3"/>
        <v>0</v>
      </c>
      <c r="DG8">
        <f>ROUND(ROUND(AF8*AJ8,2)*CX8,2)</f>
        <v>5.65</v>
      </c>
      <c r="DH8">
        <f>ROUND(ROUND(AG8*AK8,2)*CX8,2)</f>
        <v>2.14</v>
      </c>
      <c r="DI8">
        <f t="shared" si="4"/>
        <v>0</v>
      </c>
      <c r="DJ8">
        <f>DG8</f>
        <v>5.65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ROW(Source!A34)</f>
        <v>34</v>
      </c>
      <c r="B9">
        <v>53860087</v>
      </c>
      <c r="C9">
        <v>53860223</v>
      </c>
      <c r="D9">
        <v>29580030</v>
      </c>
      <c r="E9">
        <v>1</v>
      </c>
      <c r="F9">
        <v>1</v>
      </c>
      <c r="G9">
        <v>29506949</v>
      </c>
      <c r="H9">
        <v>2</v>
      </c>
      <c r="I9" t="s">
        <v>653</v>
      </c>
      <c r="J9" t="s">
        <v>654</v>
      </c>
      <c r="K9" t="s">
        <v>655</v>
      </c>
      <c r="L9">
        <v>1368</v>
      </c>
      <c r="N9">
        <v>1011</v>
      </c>
      <c r="O9" t="s">
        <v>647</v>
      </c>
      <c r="P9" t="s">
        <v>647</v>
      </c>
      <c r="Q9">
        <v>1</v>
      </c>
      <c r="W9">
        <v>0</v>
      </c>
      <c r="X9">
        <v>919099054</v>
      </c>
      <c r="Y9">
        <f>(AT9*1.25)</f>
        <v>3.7499999999999999E-2</v>
      </c>
      <c r="AA9">
        <v>0</v>
      </c>
      <c r="AB9">
        <v>1.65</v>
      </c>
      <c r="AC9">
        <v>0</v>
      </c>
      <c r="AD9">
        <v>0</v>
      </c>
      <c r="AE9">
        <v>0</v>
      </c>
      <c r="AF9">
        <v>0.17</v>
      </c>
      <c r="AG9">
        <v>0</v>
      </c>
      <c r="AH9">
        <v>0</v>
      </c>
      <c r="AI9">
        <v>1</v>
      </c>
      <c r="AJ9">
        <v>9.4700000000000006</v>
      </c>
      <c r="AK9">
        <v>30.1</v>
      </c>
      <c r="AL9">
        <v>1</v>
      </c>
      <c r="AM9">
        <v>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0.03</v>
      </c>
      <c r="AU9" t="s">
        <v>51</v>
      </c>
      <c r="AV9">
        <v>0</v>
      </c>
      <c r="AW9">
        <v>2</v>
      </c>
      <c r="AX9">
        <v>53861064</v>
      </c>
      <c r="AY9">
        <v>1</v>
      </c>
      <c r="AZ9">
        <v>0</v>
      </c>
      <c r="BA9">
        <v>32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ROUND(Y9*Source!I34,9)</f>
        <v>1.6875000000000001E-2</v>
      </c>
      <c r="CX9">
        <f>ROUND(Y9*Source!I34,9)</f>
        <v>1.6875000000000001E-2</v>
      </c>
      <c r="CY9">
        <f>AB9</f>
        <v>1.65</v>
      </c>
      <c r="CZ9">
        <f>AF9</f>
        <v>0.17</v>
      </c>
      <c r="DA9">
        <f>AJ9</f>
        <v>9.4700000000000006</v>
      </c>
      <c r="DB9">
        <f>ROUND((ROUND(AT9*CZ9,2)*1.25),6)</f>
        <v>1.2500000000000001E-2</v>
      </c>
      <c r="DC9">
        <f>ROUND((ROUND(AT9*AG9,2)*1.25),6)</f>
        <v>0</v>
      </c>
      <c r="DD9" t="s">
        <v>3</v>
      </c>
      <c r="DE9" t="s">
        <v>3</v>
      </c>
      <c r="DF9">
        <f t="shared" si="3"/>
        <v>0</v>
      </c>
      <c r="DG9">
        <f>ROUND(ROUND(AF9*AJ9,2)*CX9,2)</f>
        <v>0.03</v>
      </c>
      <c r="DH9">
        <f>ROUND(ROUND(AG9*AK9,2)*CX9,2)</f>
        <v>0</v>
      </c>
      <c r="DI9">
        <f t="shared" si="4"/>
        <v>0</v>
      </c>
      <c r="DJ9">
        <f>DG9</f>
        <v>0.03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ROW(Source!A34)</f>
        <v>34</v>
      </c>
      <c r="B10">
        <v>53860087</v>
      </c>
      <c r="C10">
        <v>53860223</v>
      </c>
      <c r="D10">
        <v>29557964</v>
      </c>
      <c r="E10">
        <v>1</v>
      </c>
      <c r="F10">
        <v>1</v>
      </c>
      <c r="G10">
        <v>29506949</v>
      </c>
      <c r="H10">
        <v>3</v>
      </c>
      <c r="I10" t="s">
        <v>56</v>
      </c>
      <c r="J10" t="s">
        <v>59</v>
      </c>
      <c r="K10" t="s">
        <v>57</v>
      </c>
      <c r="L10">
        <v>1346</v>
      </c>
      <c r="N10">
        <v>1009</v>
      </c>
      <c r="O10" t="s">
        <v>58</v>
      </c>
      <c r="P10" t="s">
        <v>58</v>
      </c>
      <c r="Q10">
        <v>1</v>
      </c>
      <c r="W10">
        <v>0</v>
      </c>
      <c r="X10">
        <v>33071459</v>
      </c>
      <c r="Y10">
        <f>AT10</f>
        <v>10.3</v>
      </c>
      <c r="AA10">
        <v>103.75</v>
      </c>
      <c r="AB10">
        <v>0</v>
      </c>
      <c r="AC10">
        <v>0</v>
      </c>
      <c r="AD10">
        <v>0</v>
      </c>
      <c r="AE10">
        <v>28.98</v>
      </c>
      <c r="AF10">
        <v>0</v>
      </c>
      <c r="AG10">
        <v>0</v>
      </c>
      <c r="AH10">
        <v>0</v>
      </c>
      <c r="AI10">
        <v>3.58</v>
      </c>
      <c r="AJ10">
        <v>1</v>
      </c>
      <c r="AK10">
        <v>1</v>
      </c>
      <c r="AL10">
        <v>1</v>
      </c>
      <c r="AM10">
        <v>0</v>
      </c>
      <c r="AN10">
        <v>0</v>
      </c>
      <c r="AO10">
        <v>0</v>
      </c>
      <c r="AP10">
        <v>1</v>
      </c>
      <c r="AQ10">
        <v>0</v>
      </c>
      <c r="AR10">
        <v>0</v>
      </c>
      <c r="AS10" t="s">
        <v>3</v>
      </c>
      <c r="AT10">
        <v>10.3</v>
      </c>
      <c r="AU10" t="s">
        <v>3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3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ROUND(Y10*Source!I34,9)</f>
        <v>4.6349999999999998</v>
      </c>
      <c r="CY10">
        <f>AA10</f>
        <v>103.75</v>
      </c>
      <c r="CZ10">
        <f>AE10</f>
        <v>28.98</v>
      </c>
      <c r="DA10">
        <f>AI10</f>
        <v>3.58</v>
      </c>
      <c r="DB10">
        <f>ROUND(ROUND(AT10*CZ10,2),6)</f>
        <v>298.49</v>
      </c>
      <c r="DC10">
        <f>ROUND(ROUND(AT10*AG10,2),6)</f>
        <v>0</v>
      </c>
      <c r="DD10" t="s">
        <v>3</v>
      </c>
      <c r="DE10" t="s">
        <v>3</v>
      </c>
      <c r="DF10">
        <f>ROUND(ROUND(AE10*AI10,2)*CX10,2)</f>
        <v>480.88</v>
      </c>
      <c r="DG10">
        <f t="shared" ref="DG10:DG16" si="5">ROUND(ROUND(AF10,2)*CX10,2)</f>
        <v>0</v>
      </c>
      <c r="DH10">
        <f t="shared" ref="DH10:DH16" si="6">ROUND(ROUND(AG10,2)*CX10,2)</f>
        <v>0</v>
      </c>
      <c r="DI10">
        <f t="shared" si="4"/>
        <v>0</v>
      </c>
      <c r="DJ10">
        <f>DF10</f>
        <v>480.88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ROW(Source!A36)</f>
        <v>36</v>
      </c>
      <c r="B11">
        <v>53860087</v>
      </c>
      <c r="C11">
        <v>53860233</v>
      </c>
      <c r="D11">
        <v>29506954</v>
      </c>
      <c r="E11">
        <v>29506949</v>
      </c>
      <c r="F11">
        <v>1</v>
      </c>
      <c r="G11">
        <v>29506949</v>
      </c>
      <c r="H11">
        <v>1</v>
      </c>
      <c r="I11" t="s">
        <v>638</v>
      </c>
      <c r="J11" t="s">
        <v>3</v>
      </c>
      <c r="K11" t="s">
        <v>639</v>
      </c>
      <c r="L11">
        <v>1191</v>
      </c>
      <c r="N11">
        <v>1013</v>
      </c>
      <c r="O11" t="s">
        <v>640</v>
      </c>
      <c r="P11" t="s">
        <v>640</v>
      </c>
      <c r="Q11">
        <v>1</v>
      </c>
      <c r="W11">
        <v>0</v>
      </c>
      <c r="X11">
        <v>476480486</v>
      </c>
      <c r="Y11">
        <f>(AT11*1.15)</f>
        <v>51.749999999999993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45</v>
      </c>
      <c r="AU11" t="s">
        <v>52</v>
      </c>
      <c r="AV11">
        <v>1</v>
      </c>
      <c r="AW11">
        <v>2</v>
      </c>
      <c r="AX11">
        <v>53861066</v>
      </c>
      <c r="AY11">
        <v>1</v>
      </c>
      <c r="AZ11">
        <v>0</v>
      </c>
      <c r="BA11">
        <v>34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ROUND(AT11*Source!I36*AH11*AL11,2)</f>
        <v>0</v>
      </c>
      <c r="CV11">
        <f>ROUND(Y11*Source!I36,9)</f>
        <v>23.287500000000001</v>
      </c>
      <c r="CW11">
        <v>0</v>
      </c>
      <c r="CX11">
        <f>ROUND(Y11*Source!I36,9)</f>
        <v>23.287500000000001</v>
      </c>
      <c r="CY11">
        <f>AD11</f>
        <v>0</v>
      </c>
      <c r="CZ11">
        <f>AH11</f>
        <v>0</v>
      </c>
      <c r="DA11">
        <f>AL11</f>
        <v>1</v>
      </c>
      <c r="DB11">
        <f>ROUND((ROUND(AT11*CZ11,2)*1.15),6)</f>
        <v>0</v>
      </c>
      <c r="DC11">
        <f>ROUND((ROUND(AT11*AG11,2)*1.15),6)</f>
        <v>0</v>
      </c>
      <c r="DD11" t="s">
        <v>3</v>
      </c>
      <c r="DE11" t="s">
        <v>3</v>
      </c>
      <c r="DF11">
        <f>ROUND(ROUND(AE11,2)*CX11,2)</f>
        <v>0</v>
      </c>
      <c r="DG11">
        <f t="shared" si="5"/>
        <v>0</v>
      </c>
      <c r="DH11">
        <f t="shared" si="6"/>
        <v>0</v>
      </c>
      <c r="DI11">
        <f t="shared" si="4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ROW(Source!A36)</f>
        <v>36</v>
      </c>
      <c r="B12">
        <v>53860087</v>
      </c>
      <c r="C12">
        <v>53860233</v>
      </c>
      <c r="D12">
        <v>29507683</v>
      </c>
      <c r="E12">
        <v>29506949</v>
      </c>
      <c r="F12">
        <v>1</v>
      </c>
      <c r="G12">
        <v>29506949</v>
      </c>
      <c r="H12">
        <v>2</v>
      </c>
      <c r="I12" t="s">
        <v>641</v>
      </c>
      <c r="J12" t="s">
        <v>3</v>
      </c>
      <c r="K12" t="s">
        <v>642</v>
      </c>
      <c r="L12">
        <v>1344</v>
      </c>
      <c r="N12">
        <v>1008</v>
      </c>
      <c r="O12" t="s">
        <v>643</v>
      </c>
      <c r="P12" t="s">
        <v>643</v>
      </c>
      <c r="Q12">
        <v>1</v>
      </c>
      <c r="W12">
        <v>0</v>
      </c>
      <c r="X12">
        <v>-1180195794</v>
      </c>
      <c r="Y12">
        <f>(AT12*1.25)</f>
        <v>24.1875</v>
      </c>
      <c r="AA12">
        <v>0</v>
      </c>
      <c r="AB12">
        <v>1.03</v>
      </c>
      <c r="AC12">
        <v>0</v>
      </c>
      <c r="AD12">
        <v>0</v>
      </c>
      <c r="AE12">
        <v>0</v>
      </c>
      <c r="AF12">
        <v>1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19.350000000000001</v>
      </c>
      <c r="AU12" t="s">
        <v>51</v>
      </c>
      <c r="AV12">
        <v>0</v>
      </c>
      <c r="AW12">
        <v>1</v>
      </c>
      <c r="AX12">
        <v>-1</v>
      </c>
      <c r="AY12">
        <v>0</v>
      </c>
      <c r="AZ12">
        <v>0</v>
      </c>
      <c r="BA12" t="s">
        <v>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f>ROUND(Y12*Source!I36,9)</f>
        <v>10.884375</v>
      </c>
      <c r="CX12">
        <f>ROUND(Y12*Source!I36,9)</f>
        <v>10.884375</v>
      </c>
      <c r="CY12">
        <f>AB12</f>
        <v>1.03</v>
      </c>
      <c r="CZ12">
        <f>AF12</f>
        <v>1</v>
      </c>
      <c r="DA12">
        <f>AJ12</f>
        <v>1</v>
      </c>
      <c r="DB12">
        <f>ROUND((ROUND(AT12*CZ12,2)*1.25),6)</f>
        <v>24.1875</v>
      </c>
      <c r="DC12">
        <f>ROUND((ROUND(AT12*AG12,2)*1.25),6)</f>
        <v>0</v>
      </c>
      <c r="DD12" t="s">
        <v>3</v>
      </c>
      <c r="DE12" t="s">
        <v>3</v>
      </c>
      <c r="DF12">
        <f>ROUND(ROUND(AE12,2)*CX12,2)</f>
        <v>0</v>
      </c>
      <c r="DG12">
        <f t="shared" si="5"/>
        <v>10.88</v>
      </c>
      <c r="DH12">
        <f t="shared" si="6"/>
        <v>0</v>
      </c>
      <c r="DI12">
        <f t="shared" si="4"/>
        <v>0</v>
      </c>
      <c r="DJ12">
        <f>DG12</f>
        <v>10.88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ROW(Source!A36)</f>
        <v>36</v>
      </c>
      <c r="B13">
        <v>53860087</v>
      </c>
      <c r="C13">
        <v>53860233</v>
      </c>
      <c r="D13">
        <v>29555598</v>
      </c>
      <c r="E13">
        <v>1</v>
      </c>
      <c r="F13">
        <v>1</v>
      </c>
      <c r="G13">
        <v>29506949</v>
      </c>
      <c r="H13">
        <v>3</v>
      </c>
      <c r="I13" t="s">
        <v>68</v>
      </c>
      <c r="J13" t="s">
        <v>71</v>
      </c>
      <c r="K13" t="s">
        <v>69</v>
      </c>
      <c r="L13">
        <v>1339</v>
      </c>
      <c r="N13">
        <v>1007</v>
      </c>
      <c r="O13" t="s">
        <v>70</v>
      </c>
      <c r="P13" t="s">
        <v>70</v>
      </c>
      <c r="Q13">
        <v>1</v>
      </c>
      <c r="W13">
        <v>0</v>
      </c>
      <c r="X13">
        <v>-862991314</v>
      </c>
      <c r="Y13">
        <f>AT13</f>
        <v>9.8000000000000004E-2</v>
      </c>
      <c r="AA13">
        <v>42.42</v>
      </c>
      <c r="AB13">
        <v>0</v>
      </c>
      <c r="AC13">
        <v>0</v>
      </c>
      <c r="AD13">
        <v>0</v>
      </c>
      <c r="AE13">
        <v>7.07</v>
      </c>
      <c r="AF13">
        <v>0</v>
      </c>
      <c r="AG13">
        <v>0</v>
      </c>
      <c r="AH13">
        <v>0</v>
      </c>
      <c r="AI13">
        <v>6</v>
      </c>
      <c r="AJ13">
        <v>1</v>
      </c>
      <c r="AK13">
        <v>1</v>
      </c>
      <c r="AL13">
        <v>1</v>
      </c>
      <c r="AM13">
        <v>0</v>
      </c>
      <c r="AN13">
        <v>0</v>
      </c>
      <c r="AO13">
        <v>0</v>
      </c>
      <c r="AP13">
        <v>1</v>
      </c>
      <c r="AQ13">
        <v>0</v>
      </c>
      <c r="AR13">
        <v>0</v>
      </c>
      <c r="AS13" t="s">
        <v>3</v>
      </c>
      <c r="AT13">
        <v>9.8000000000000004E-2</v>
      </c>
      <c r="AU13" t="s">
        <v>3</v>
      </c>
      <c r="AV13">
        <v>0</v>
      </c>
      <c r="AW13">
        <v>1</v>
      </c>
      <c r="AX13">
        <v>-1</v>
      </c>
      <c r="AY13">
        <v>0</v>
      </c>
      <c r="AZ13">
        <v>0</v>
      </c>
      <c r="BA13" t="s">
        <v>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ROUND(Y13*Source!I36,9)</f>
        <v>4.41E-2</v>
      </c>
      <c r="CY13">
        <f>AA13</f>
        <v>42.42</v>
      </c>
      <c r="CZ13">
        <f>AE13</f>
        <v>7.07</v>
      </c>
      <c r="DA13">
        <f>AI13</f>
        <v>6</v>
      </c>
      <c r="DB13">
        <f>ROUND(ROUND(AT13*CZ13,2),6)</f>
        <v>0.69</v>
      </c>
      <c r="DC13">
        <f>ROUND(ROUND(AT13*AG13,2),6)</f>
        <v>0</v>
      </c>
      <c r="DD13" t="s">
        <v>3</v>
      </c>
      <c r="DE13" t="s">
        <v>3</v>
      </c>
      <c r="DF13">
        <f>ROUND(ROUND(AE13*AI13,2)*CX13,2)</f>
        <v>1.87</v>
      </c>
      <c r="DG13">
        <f t="shared" si="5"/>
        <v>0</v>
      </c>
      <c r="DH13">
        <f t="shared" si="6"/>
        <v>0</v>
      </c>
      <c r="DI13">
        <f t="shared" si="4"/>
        <v>0</v>
      </c>
      <c r="DJ13">
        <f>DF13</f>
        <v>1.87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ROW(Source!A36)</f>
        <v>36</v>
      </c>
      <c r="B14">
        <v>53860087</v>
      </c>
      <c r="C14">
        <v>53860233</v>
      </c>
      <c r="D14">
        <v>29574116</v>
      </c>
      <c r="E14">
        <v>1</v>
      </c>
      <c r="F14">
        <v>1</v>
      </c>
      <c r="G14">
        <v>29506949</v>
      </c>
      <c r="H14">
        <v>3</v>
      </c>
      <c r="I14" t="s">
        <v>78</v>
      </c>
      <c r="J14" t="s">
        <v>80</v>
      </c>
      <c r="K14" t="s">
        <v>79</v>
      </c>
      <c r="L14">
        <v>1339</v>
      </c>
      <c r="N14">
        <v>1007</v>
      </c>
      <c r="O14" t="s">
        <v>70</v>
      </c>
      <c r="P14" t="s">
        <v>70</v>
      </c>
      <c r="Q14">
        <v>1</v>
      </c>
      <c r="W14">
        <v>0</v>
      </c>
      <c r="X14">
        <v>847230343</v>
      </c>
      <c r="Y14">
        <f>AT14</f>
        <v>0.35</v>
      </c>
      <c r="AA14">
        <v>4542.34</v>
      </c>
      <c r="AB14">
        <v>0</v>
      </c>
      <c r="AC14">
        <v>0</v>
      </c>
      <c r="AD14">
        <v>0</v>
      </c>
      <c r="AE14">
        <v>481.69</v>
      </c>
      <c r="AF14">
        <v>0</v>
      </c>
      <c r="AG14">
        <v>0</v>
      </c>
      <c r="AH14">
        <v>0</v>
      </c>
      <c r="AI14">
        <v>9.43</v>
      </c>
      <c r="AJ14">
        <v>1</v>
      </c>
      <c r="AK14">
        <v>1</v>
      </c>
      <c r="AL14">
        <v>1</v>
      </c>
      <c r="AM14">
        <v>0</v>
      </c>
      <c r="AN14">
        <v>0</v>
      </c>
      <c r="AO14">
        <v>0</v>
      </c>
      <c r="AP14">
        <v>1</v>
      </c>
      <c r="AQ14">
        <v>0</v>
      </c>
      <c r="AR14">
        <v>0</v>
      </c>
      <c r="AS14" t="s">
        <v>3</v>
      </c>
      <c r="AT14">
        <v>0.35</v>
      </c>
      <c r="AU14" t="s">
        <v>3</v>
      </c>
      <c r="AV14">
        <v>0</v>
      </c>
      <c r="AW14">
        <v>1</v>
      </c>
      <c r="AX14">
        <v>-1</v>
      </c>
      <c r="AY14">
        <v>0</v>
      </c>
      <c r="AZ14">
        <v>0</v>
      </c>
      <c r="BA14" t="s">
        <v>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ROUND(Y14*Source!I36,9)</f>
        <v>0.1575</v>
      </c>
      <c r="CY14">
        <f>AA14</f>
        <v>4542.34</v>
      </c>
      <c r="CZ14">
        <f>AE14</f>
        <v>481.69</v>
      </c>
      <c r="DA14">
        <f>AI14</f>
        <v>9.43</v>
      </c>
      <c r="DB14">
        <f>ROUND(ROUND(AT14*CZ14,2),6)</f>
        <v>168.59</v>
      </c>
      <c r="DC14">
        <f>ROUND(ROUND(AT14*AG14,2),6)</f>
        <v>0</v>
      </c>
      <c r="DD14" t="s">
        <v>3</v>
      </c>
      <c r="DE14" t="s">
        <v>3</v>
      </c>
      <c r="DF14">
        <f>ROUND(ROUND(AE14*AI14,2)*CX14,2)</f>
        <v>715.42</v>
      </c>
      <c r="DG14">
        <f t="shared" si="5"/>
        <v>0</v>
      </c>
      <c r="DH14">
        <f t="shared" si="6"/>
        <v>0</v>
      </c>
      <c r="DI14">
        <f t="shared" si="4"/>
        <v>0</v>
      </c>
      <c r="DJ14">
        <f>DF14</f>
        <v>715.42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ROW(Source!A36)</f>
        <v>36</v>
      </c>
      <c r="B15">
        <v>53860087</v>
      </c>
      <c r="C15">
        <v>53860233</v>
      </c>
      <c r="D15">
        <v>29574131</v>
      </c>
      <c r="E15">
        <v>1</v>
      </c>
      <c r="F15">
        <v>1</v>
      </c>
      <c r="G15">
        <v>29506949</v>
      </c>
      <c r="H15">
        <v>3</v>
      </c>
      <c r="I15" t="s">
        <v>73</v>
      </c>
      <c r="J15" t="s">
        <v>76</v>
      </c>
      <c r="K15" t="s">
        <v>74</v>
      </c>
      <c r="L15">
        <v>1348</v>
      </c>
      <c r="N15">
        <v>1009</v>
      </c>
      <c r="O15" t="s">
        <v>75</v>
      </c>
      <c r="P15" t="s">
        <v>75</v>
      </c>
      <c r="Q15">
        <v>1000</v>
      </c>
      <c r="W15">
        <v>0</v>
      </c>
      <c r="X15">
        <v>-1727448689</v>
      </c>
      <c r="Y15">
        <f>AT15</f>
        <v>0.56000000000000005</v>
      </c>
      <c r="AA15">
        <v>11185.3</v>
      </c>
      <c r="AB15">
        <v>0</v>
      </c>
      <c r="AC15">
        <v>0</v>
      </c>
      <c r="AD15">
        <v>0</v>
      </c>
      <c r="AE15">
        <v>1517.68</v>
      </c>
      <c r="AF15">
        <v>0</v>
      </c>
      <c r="AG15">
        <v>0</v>
      </c>
      <c r="AH15">
        <v>0</v>
      </c>
      <c r="AI15">
        <v>7.37</v>
      </c>
      <c r="AJ15">
        <v>1</v>
      </c>
      <c r="AK15">
        <v>1</v>
      </c>
      <c r="AL15">
        <v>1</v>
      </c>
      <c r="AM15">
        <v>0</v>
      </c>
      <c r="AN15">
        <v>0</v>
      </c>
      <c r="AO15">
        <v>0</v>
      </c>
      <c r="AP15">
        <v>1</v>
      </c>
      <c r="AQ15">
        <v>0</v>
      </c>
      <c r="AR15">
        <v>0</v>
      </c>
      <c r="AS15" t="s">
        <v>3</v>
      </c>
      <c r="AT15">
        <v>0.56000000000000005</v>
      </c>
      <c r="AU15" t="s">
        <v>3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ROUND(Y15*Source!I36,9)</f>
        <v>0.252</v>
      </c>
      <c r="CY15">
        <f>AA15</f>
        <v>11185.3</v>
      </c>
      <c r="CZ15">
        <f>AE15</f>
        <v>1517.68</v>
      </c>
      <c r="DA15">
        <f>AI15</f>
        <v>7.37</v>
      </c>
      <c r="DB15">
        <f>ROUND(ROUND(AT15*CZ15,2),6)</f>
        <v>849.9</v>
      </c>
      <c r="DC15">
        <f>ROUND(ROUND(AT15*AG15,2),6)</f>
        <v>0</v>
      </c>
      <c r="DD15" t="s">
        <v>3</v>
      </c>
      <c r="DE15" t="s">
        <v>3</v>
      </c>
      <c r="DF15">
        <f>ROUND(ROUND(AE15*AI15,2)*CX15,2)</f>
        <v>2818.7</v>
      </c>
      <c r="DG15">
        <f t="shared" si="5"/>
        <v>0</v>
      </c>
      <c r="DH15">
        <f t="shared" si="6"/>
        <v>0</v>
      </c>
      <c r="DI15">
        <f t="shared" si="4"/>
        <v>0</v>
      </c>
      <c r="DJ15">
        <f>DF15</f>
        <v>2818.7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ROW(Source!A40)</f>
        <v>40</v>
      </c>
      <c r="B16">
        <v>53860087</v>
      </c>
      <c r="C16">
        <v>53860247</v>
      </c>
      <c r="D16">
        <v>29506954</v>
      </c>
      <c r="E16">
        <v>29506949</v>
      </c>
      <c r="F16">
        <v>1</v>
      </c>
      <c r="G16">
        <v>29506949</v>
      </c>
      <c r="H16">
        <v>1</v>
      </c>
      <c r="I16" t="s">
        <v>638</v>
      </c>
      <c r="J16" t="s">
        <v>3</v>
      </c>
      <c r="K16" t="s">
        <v>639</v>
      </c>
      <c r="L16">
        <v>1191</v>
      </c>
      <c r="N16">
        <v>1013</v>
      </c>
      <c r="O16" t="s">
        <v>640</v>
      </c>
      <c r="P16" t="s">
        <v>640</v>
      </c>
      <c r="Q16">
        <v>1</v>
      </c>
      <c r="W16">
        <v>0</v>
      </c>
      <c r="X16">
        <v>476480486</v>
      </c>
      <c r="Y16">
        <f>(AT16*1.15)</f>
        <v>72.449999999999989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63</v>
      </c>
      <c r="AU16" t="s">
        <v>52</v>
      </c>
      <c r="AV16">
        <v>1</v>
      </c>
      <c r="AW16">
        <v>2</v>
      </c>
      <c r="AX16">
        <v>53861073</v>
      </c>
      <c r="AY16">
        <v>1</v>
      </c>
      <c r="AZ16">
        <v>0</v>
      </c>
      <c r="BA16">
        <v>41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U16">
        <f>ROUND(AT16*Source!I40*AH16*AL16,2)</f>
        <v>0</v>
      </c>
      <c r="CV16">
        <f>ROUND(Y16*Source!I40,9)</f>
        <v>32.602499999999999</v>
      </c>
      <c r="CW16">
        <v>0</v>
      </c>
      <c r="CX16">
        <f>ROUND(Y16*Source!I40,9)</f>
        <v>32.602499999999999</v>
      </c>
      <c r="CY16">
        <f>AD16</f>
        <v>0</v>
      </c>
      <c r="CZ16">
        <f>AH16</f>
        <v>0</v>
      </c>
      <c r="DA16">
        <f>AL16</f>
        <v>1</v>
      </c>
      <c r="DB16">
        <f>ROUND((ROUND(AT16*CZ16,2)*1.15),6)</f>
        <v>0</v>
      </c>
      <c r="DC16">
        <f>ROUND((ROUND(AT16*AG16,2)*1.15),6)</f>
        <v>0</v>
      </c>
      <c r="DD16" t="s">
        <v>3</v>
      </c>
      <c r="DE16" t="s">
        <v>3</v>
      </c>
      <c r="DF16">
        <f>ROUND(ROUND(AE16,2)*CX16,2)</f>
        <v>0</v>
      </c>
      <c r="DG16">
        <f t="shared" si="5"/>
        <v>0</v>
      </c>
      <c r="DH16">
        <f t="shared" si="6"/>
        <v>0</v>
      </c>
      <c r="DI16">
        <f t="shared" si="4"/>
        <v>0</v>
      </c>
      <c r="DJ16">
        <f>DI16</f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ROW(Source!A40)</f>
        <v>40</v>
      </c>
      <c r="B17">
        <v>53860087</v>
      </c>
      <c r="C17">
        <v>53860247</v>
      </c>
      <c r="D17">
        <v>29580491</v>
      </c>
      <c r="E17">
        <v>1</v>
      </c>
      <c r="F17">
        <v>1</v>
      </c>
      <c r="G17">
        <v>29506949</v>
      </c>
      <c r="H17">
        <v>2</v>
      </c>
      <c r="I17" t="s">
        <v>650</v>
      </c>
      <c r="J17" t="s">
        <v>651</v>
      </c>
      <c r="K17" t="s">
        <v>652</v>
      </c>
      <c r="L17">
        <v>1368</v>
      </c>
      <c r="N17">
        <v>1011</v>
      </c>
      <c r="O17" t="s">
        <v>647</v>
      </c>
      <c r="P17" t="s">
        <v>647</v>
      </c>
      <c r="Q17">
        <v>1</v>
      </c>
      <c r="W17">
        <v>0</v>
      </c>
      <c r="X17">
        <v>-1440889904</v>
      </c>
      <c r="Y17">
        <f>(AT17*1.25)</f>
        <v>2.5000000000000001E-2</v>
      </c>
      <c r="AA17">
        <v>0</v>
      </c>
      <c r="AB17">
        <v>1029.8</v>
      </c>
      <c r="AC17">
        <v>389.36</v>
      </c>
      <c r="AD17">
        <v>0</v>
      </c>
      <c r="AE17">
        <v>0</v>
      </c>
      <c r="AF17">
        <v>83.1</v>
      </c>
      <c r="AG17">
        <v>12.62</v>
      </c>
      <c r="AH17">
        <v>0</v>
      </c>
      <c r="AI17">
        <v>1</v>
      </c>
      <c r="AJ17">
        <v>12.09</v>
      </c>
      <c r="AK17">
        <v>30.1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0.02</v>
      </c>
      <c r="AU17" t="s">
        <v>51</v>
      </c>
      <c r="AV17">
        <v>0</v>
      </c>
      <c r="AW17">
        <v>2</v>
      </c>
      <c r="AX17">
        <v>53861074</v>
      </c>
      <c r="AY17">
        <v>1</v>
      </c>
      <c r="AZ17">
        <v>0</v>
      </c>
      <c r="BA17">
        <v>42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f>ROUND(Y17*Source!I40,9)</f>
        <v>1.125E-2</v>
      </c>
      <c r="CX17">
        <f>ROUND(Y17*Source!I40,9)</f>
        <v>1.125E-2</v>
      </c>
      <c r="CY17">
        <f>AB17</f>
        <v>1029.8</v>
      </c>
      <c r="CZ17">
        <f>AF17</f>
        <v>83.1</v>
      </c>
      <c r="DA17">
        <f>AJ17</f>
        <v>12.09</v>
      </c>
      <c r="DB17">
        <f>ROUND((ROUND(AT17*CZ17,2)*1.25),6)</f>
        <v>2.0750000000000002</v>
      </c>
      <c r="DC17">
        <f>ROUND((ROUND(AT17*AG17,2)*1.25),6)</f>
        <v>0.3125</v>
      </c>
      <c r="DD17" t="s">
        <v>3</v>
      </c>
      <c r="DE17" t="s">
        <v>3</v>
      </c>
      <c r="DF17">
        <f>ROUND(ROUND(AE17,2)*CX17,2)</f>
        <v>0</v>
      </c>
      <c r="DG17">
        <f>ROUND(ROUND(AF17*AJ17,2)*CX17,2)</f>
        <v>11.3</v>
      </c>
      <c r="DH17">
        <f>ROUND(ROUND(AG17*AK17,2)*CX17,2)</f>
        <v>4.2699999999999996</v>
      </c>
      <c r="DI17">
        <f t="shared" si="4"/>
        <v>0</v>
      </c>
      <c r="DJ17">
        <f>DG17</f>
        <v>11.3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ROW(Source!A40)</f>
        <v>40</v>
      </c>
      <c r="B18">
        <v>53860087</v>
      </c>
      <c r="C18">
        <v>53860247</v>
      </c>
      <c r="D18">
        <v>29555595</v>
      </c>
      <c r="E18">
        <v>1</v>
      </c>
      <c r="F18">
        <v>1</v>
      </c>
      <c r="G18">
        <v>29506949</v>
      </c>
      <c r="H18">
        <v>3</v>
      </c>
      <c r="I18" t="s">
        <v>656</v>
      </c>
      <c r="J18" t="s">
        <v>657</v>
      </c>
      <c r="K18" t="s">
        <v>658</v>
      </c>
      <c r="L18">
        <v>1346</v>
      </c>
      <c r="N18">
        <v>1009</v>
      </c>
      <c r="O18" t="s">
        <v>58</v>
      </c>
      <c r="P18" t="s">
        <v>58</v>
      </c>
      <c r="Q18">
        <v>1</v>
      </c>
      <c r="W18">
        <v>0</v>
      </c>
      <c r="X18">
        <v>622621594</v>
      </c>
      <c r="Y18">
        <f>AT18</f>
        <v>0.31</v>
      </c>
      <c r="AA18">
        <v>53.55</v>
      </c>
      <c r="AB18">
        <v>0</v>
      </c>
      <c r="AC18">
        <v>0</v>
      </c>
      <c r="AD18">
        <v>0</v>
      </c>
      <c r="AE18">
        <v>1.61</v>
      </c>
      <c r="AF18">
        <v>0</v>
      </c>
      <c r="AG18">
        <v>0</v>
      </c>
      <c r="AH18">
        <v>0</v>
      </c>
      <c r="AI18">
        <v>33.26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0.31</v>
      </c>
      <c r="AU18" t="s">
        <v>3</v>
      </c>
      <c r="AV18">
        <v>0</v>
      </c>
      <c r="AW18">
        <v>2</v>
      </c>
      <c r="AX18">
        <v>53861075</v>
      </c>
      <c r="AY18">
        <v>1</v>
      </c>
      <c r="AZ18">
        <v>0</v>
      </c>
      <c r="BA18">
        <v>43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ROUND(Y18*Source!I40,9)</f>
        <v>0.13950000000000001</v>
      </c>
      <c r="CY18">
        <f>AA18</f>
        <v>53.55</v>
      </c>
      <c r="CZ18">
        <f>AE18</f>
        <v>1.61</v>
      </c>
      <c r="DA18">
        <f>AI18</f>
        <v>33.26</v>
      </c>
      <c r="DB18">
        <f>ROUND(ROUND(AT18*CZ18,2),6)</f>
        <v>0.5</v>
      </c>
      <c r="DC18">
        <f>ROUND(ROUND(AT18*AG18,2),6)</f>
        <v>0</v>
      </c>
      <c r="DD18" t="s">
        <v>3</v>
      </c>
      <c r="DE18" t="s">
        <v>3</v>
      </c>
      <c r="DF18">
        <f>ROUND(ROUND(AE18*AI18,2)*CX18,2)</f>
        <v>7.47</v>
      </c>
      <c r="DG18">
        <f t="shared" ref="DG18:DG23" si="7">ROUND(ROUND(AF18,2)*CX18,2)</f>
        <v>0</v>
      </c>
      <c r="DH18">
        <f t="shared" ref="DH18:DH23" si="8">ROUND(ROUND(AG18,2)*CX18,2)</f>
        <v>0</v>
      </c>
      <c r="DI18">
        <f t="shared" si="4"/>
        <v>0</v>
      </c>
      <c r="DJ18">
        <f>DF18</f>
        <v>7.47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ROW(Source!A40)</f>
        <v>40</v>
      </c>
      <c r="B19">
        <v>53860087</v>
      </c>
      <c r="C19">
        <v>53860247</v>
      </c>
      <c r="D19">
        <v>29556811</v>
      </c>
      <c r="E19">
        <v>1</v>
      </c>
      <c r="F19">
        <v>1</v>
      </c>
      <c r="G19">
        <v>29506949</v>
      </c>
      <c r="H19">
        <v>3</v>
      </c>
      <c r="I19" t="s">
        <v>659</v>
      </c>
      <c r="J19" t="s">
        <v>660</v>
      </c>
      <c r="K19" t="s">
        <v>661</v>
      </c>
      <c r="L19">
        <v>1327</v>
      </c>
      <c r="N19">
        <v>1005</v>
      </c>
      <c r="O19" t="s">
        <v>100</v>
      </c>
      <c r="P19" t="s">
        <v>100</v>
      </c>
      <c r="Q19">
        <v>1</v>
      </c>
      <c r="W19">
        <v>0</v>
      </c>
      <c r="X19">
        <v>1579706749</v>
      </c>
      <c r="Y19">
        <f>AT19</f>
        <v>0.84</v>
      </c>
      <c r="AA19">
        <v>151.84</v>
      </c>
      <c r="AB19">
        <v>0</v>
      </c>
      <c r="AC19">
        <v>0</v>
      </c>
      <c r="AD19">
        <v>0</v>
      </c>
      <c r="AE19">
        <v>104</v>
      </c>
      <c r="AF19">
        <v>0</v>
      </c>
      <c r="AG19">
        <v>0</v>
      </c>
      <c r="AH19">
        <v>0</v>
      </c>
      <c r="AI19">
        <v>1.46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0.84</v>
      </c>
      <c r="AU19" t="s">
        <v>3</v>
      </c>
      <c r="AV19">
        <v>0</v>
      </c>
      <c r="AW19">
        <v>2</v>
      </c>
      <c r="AX19">
        <v>53861076</v>
      </c>
      <c r="AY19">
        <v>1</v>
      </c>
      <c r="AZ19">
        <v>0</v>
      </c>
      <c r="BA19">
        <v>44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ROUND(Y19*Source!I40,9)</f>
        <v>0.378</v>
      </c>
      <c r="CY19">
        <f>AA19</f>
        <v>151.84</v>
      </c>
      <c r="CZ19">
        <f>AE19</f>
        <v>104</v>
      </c>
      <c r="DA19">
        <f>AI19</f>
        <v>1.46</v>
      </c>
      <c r="DB19">
        <f>ROUND(ROUND(AT19*CZ19,2),6)</f>
        <v>87.36</v>
      </c>
      <c r="DC19">
        <f>ROUND(ROUND(AT19*AG19,2),6)</f>
        <v>0</v>
      </c>
      <c r="DD19" t="s">
        <v>3</v>
      </c>
      <c r="DE19" t="s">
        <v>3</v>
      </c>
      <c r="DF19">
        <f>ROUND(ROUND(AE19*AI19,2)*CX19,2)</f>
        <v>57.4</v>
      </c>
      <c r="DG19">
        <f t="shared" si="7"/>
        <v>0</v>
      </c>
      <c r="DH19">
        <f t="shared" si="8"/>
        <v>0</v>
      </c>
      <c r="DI19">
        <f t="shared" si="4"/>
        <v>0</v>
      </c>
      <c r="DJ19">
        <f>DF19</f>
        <v>57.4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ROW(Source!A40)</f>
        <v>40</v>
      </c>
      <c r="B20">
        <v>53860087</v>
      </c>
      <c r="C20">
        <v>53860247</v>
      </c>
      <c r="D20">
        <v>29556824</v>
      </c>
      <c r="E20">
        <v>1</v>
      </c>
      <c r="F20">
        <v>1</v>
      </c>
      <c r="G20">
        <v>29506949</v>
      </c>
      <c r="H20">
        <v>3</v>
      </c>
      <c r="I20" t="s">
        <v>662</v>
      </c>
      <c r="J20" t="s">
        <v>663</v>
      </c>
      <c r="K20" t="s">
        <v>664</v>
      </c>
      <c r="L20">
        <v>1348</v>
      </c>
      <c r="N20">
        <v>1009</v>
      </c>
      <c r="O20" t="s">
        <v>75</v>
      </c>
      <c r="P20" t="s">
        <v>75</v>
      </c>
      <c r="Q20">
        <v>1000</v>
      </c>
      <c r="W20">
        <v>0</v>
      </c>
      <c r="X20">
        <v>580281819</v>
      </c>
      <c r="Y20">
        <f>AT20</f>
        <v>5.5E-2</v>
      </c>
      <c r="AA20">
        <v>44232.91</v>
      </c>
      <c r="AB20">
        <v>0</v>
      </c>
      <c r="AC20">
        <v>0</v>
      </c>
      <c r="AD20">
        <v>0</v>
      </c>
      <c r="AE20">
        <v>13953.6</v>
      </c>
      <c r="AF20">
        <v>0</v>
      </c>
      <c r="AG20">
        <v>0</v>
      </c>
      <c r="AH20">
        <v>0</v>
      </c>
      <c r="AI20">
        <v>3.17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5.5E-2</v>
      </c>
      <c r="AU20" t="s">
        <v>3</v>
      </c>
      <c r="AV20">
        <v>0</v>
      </c>
      <c r="AW20">
        <v>2</v>
      </c>
      <c r="AX20">
        <v>53861077</v>
      </c>
      <c r="AY20">
        <v>1</v>
      </c>
      <c r="AZ20">
        <v>0</v>
      </c>
      <c r="BA20">
        <v>45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ROUND(Y20*Source!I40,9)</f>
        <v>2.4750000000000001E-2</v>
      </c>
      <c r="CY20">
        <f>AA20</f>
        <v>44232.91</v>
      </c>
      <c r="CZ20">
        <f>AE20</f>
        <v>13953.6</v>
      </c>
      <c r="DA20">
        <f>AI20</f>
        <v>3.17</v>
      </c>
      <c r="DB20">
        <f>ROUND(ROUND(AT20*CZ20,2),6)</f>
        <v>767.45</v>
      </c>
      <c r="DC20">
        <f>ROUND(ROUND(AT20*AG20,2),6)</f>
        <v>0</v>
      </c>
      <c r="DD20" t="s">
        <v>3</v>
      </c>
      <c r="DE20" t="s">
        <v>3</v>
      </c>
      <c r="DF20">
        <f>ROUND(ROUND(AE20*AI20,2)*CX20,2)</f>
        <v>1094.76</v>
      </c>
      <c r="DG20">
        <f t="shared" si="7"/>
        <v>0</v>
      </c>
      <c r="DH20">
        <f t="shared" si="8"/>
        <v>0</v>
      </c>
      <c r="DI20">
        <f t="shared" si="4"/>
        <v>0</v>
      </c>
      <c r="DJ20">
        <f>DF20</f>
        <v>1094.76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ROW(Source!A40)</f>
        <v>40</v>
      </c>
      <c r="B21">
        <v>53860087</v>
      </c>
      <c r="C21">
        <v>53860247</v>
      </c>
      <c r="D21">
        <v>29557964</v>
      </c>
      <c r="E21">
        <v>1</v>
      </c>
      <c r="F21">
        <v>1</v>
      </c>
      <c r="G21">
        <v>29506949</v>
      </c>
      <c r="H21">
        <v>3</v>
      </c>
      <c r="I21" t="s">
        <v>56</v>
      </c>
      <c r="J21" t="s">
        <v>59</v>
      </c>
      <c r="K21" t="s">
        <v>57</v>
      </c>
      <c r="L21">
        <v>1346</v>
      </c>
      <c r="N21">
        <v>1009</v>
      </c>
      <c r="O21" t="s">
        <v>58</v>
      </c>
      <c r="P21" t="s">
        <v>58</v>
      </c>
      <c r="Q21">
        <v>1</v>
      </c>
      <c r="W21">
        <v>0</v>
      </c>
      <c r="X21">
        <v>33071459</v>
      </c>
      <c r="Y21">
        <f>AT21</f>
        <v>22</v>
      </c>
      <c r="AA21">
        <v>103.75</v>
      </c>
      <c r="AB21">
        <v>0</v>
      </c>
      <c r="AC21">
        <v>0</v>
      </c>
      <c r="AD21">
        <v>0</v>
      </c>
      <c r="AE21">
        <v>28.98</v>
      </c>
      <c r="AF21">
        <v>0</v>
      </c>
      <c r="AG21">
        <v>0</v>
      </c>
      <c r="AH21">
        <v>0</v>
      </c>
      <c r="AI21">
        <v>3.58</v>
      </c>
      <c r="AJ21">
        <v>1</v>
      </c>
      <c r="AK21">
        <v>1</v>
      </c>
      <c r="AL21">
        <v>1</v>
      </c>
      <c r="AM21">
        <v>0</v>
      </c>
      <c r="AN21">
        <v>0</v>
      </c>
      <c r="AO21">
        <v>0</v>
      </c>
      <c r="AP21">
        <v>1</v>
      </c>
      <c r="AQ21">
        <v>0</v>
      </c>
      <c r="AR21">
        <v>0</v>
      </c>
      <c r="AS21" t="s">
        <v>3</v>
      </c>
      <c r="AT21">
        <v>22</v>
      </c>
      <c r="AU21" t="s">
        <v>3</v>
      </c>
      <c r="AV21">
        <v>0</v>
      </c>
      <c r="AW21">
        <v>1</v>
      </c>
      <c r="AX21">
        <v>-1</v>
      </c>
      <c r="AY21">
        <v>0</v>
      </c>
      <c r="AZ21">
        <v>0</v>
      </c>
      <c r="BA21" t="s">
        <v>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ROUND(Y21*Source!I40,9)</f>
        <v>9.9</v>
      </c>
      <c r="CY21">
        <f>AA21</f>
        <v>103.75</v>
      </c>
      <c r="CZ21">
        <f>AE21</f>
        <v>28.98</v>
      </c>
      <c r="DA21">
        <f>AI21</f>
        <v>3.58</v>
      </c>
      <c r="DB21">
        <f>ROUND(ROUND(AT21*CZ21,2),6)</f>
        <v>637.55999999999995</v>
      </c>
      <c r="DC21">
        <f>ROUND(ROUND(AT21*AG21,2),6)</f>
        <v>0</v>
      </c>
      <c r="DD21" t="s">
        <v>3</v>
      </c>
      <c r="DE21" t="s">
        <v>3</v>
      </c>
      <c r="DF21">
        <f>ROUND(ROUND(AE21*AI21,2)*CX21,2)</f>
        <v>1027.1300000000001</v>
      </c>
      <c r="DG21">
        <f t="shared" si="7"/>
        <v>0</v>
      </c>
      <c r="DH21">
        <f t="shared" si="8"/>
        <v>0</v>
      </c>
      <c r="DI21">
        <f t="shared" si="4"/>
        <v>0</v>
      </c>
      <c r="DJ21">
        <f>DF21</f>
        <v>1027.1300000000001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ROW(Source!A40)</f>
        <v>40</v>
      </c>
      <c r="B22">
        <v>53860087</v>
      </c>
      <c r="C22">
        <v>53860247</v>
      </c>
      <c r="D22">
        <v>29558996</v>
      </c>
      <c r="E22">
        <v>1</v>
      </c>
      <c r="F22">
        <v>1</v>
      </c>
      <c r="G22">
        <v>29506949</v>
      </c>
      <c r="H22">
        <v>3</v>
      </c>
      <c r="I22" t="s">
        <v>89</v>
      </c>
      <c r="J22" t="s">
        <v>90</v>
      </c>
      <c r="K22" t="s">
        <v>976</v>
      </c>
      <c r="L22">
        <v>1346</v>
      </c>
      <c r="N22">
        <v>1009</v>
      </c>
      <c r="O22" t="s">
        <v>58</v>
      </c>
      <c r="P22" t="s">
        <v>58</v>
      </c>
      <c r="Q22">
        <v>1</v>
      </c>
      <c r="W22">
        <v>0</v>
      </c>
      <c r="X22">
        <v>-1515598087</v>
      </c>
      <c r="Y22">
        <f>AT22</f>
        <v>33</v>
      </c>
      <c r="AA22">
        <v>513.11</v>
      </c>
      <c r="AB22">
        <v>0</v>
      </c>
      <c r="AC22">
        <v>0</v>
      </c>
      <c r="AD22">
        <v>0</v>
      </c>
      <c r="AE22">
        <v>108.25</v>
      </c>
      <c r="AF22">
        <v>0</v>
      </c>
      <c r="AG22">
        <v>0</v>
      </c>
      <c r="AH22">
        <v>0</v>
      </c>
      <c r="AI22">
        <v>4.74</v>
      </c>
      <c r="AJ22">
        <v>1</v>
      </c>
      <c r="AK22">
        <v>1</v>
      </c>
      <c r="AL22">
        <v>1</v>
      </c>
      <c r="AM22">
        <v>0</v>
      </c>
      <c r="AN22">
        <v>0</v>
      </c>
      <c r="AO22">
        <v>0</v>
      </c>
      <c r="AP22">
        <v>1</v>
      </c>
      <c r="AQ22">
        <v>0</v>
      </c>
      <c r="AR22">
        <v>0</v>
      </c>
      <c r="AS22" t="s">
        <v>3</v>
      </c>
      <c r="AT22">
        <v>33</v>
      </c>
      <c r="AU22" t="s">
        <v>3</v>
      </c>
      <c r="AV22">
        <v>0</v>
      </c>
      <c r="AW22">
        <v>1</v>
      </c>
      <c r="AX22">
        <v>-1</v>
      </c>
      <c r="AY22">
        <v>0</v>
      </c>
      <c r="AZ22">
        <v>0</v>
      </c>
      <c r="BA22" t="s">
        <v>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ROUND(Y22*Source!I40,9)</f>
        <v>14.85</v>
      </c>
      <c r="CY22">
        <f>AA22</f>
        <v>513.11</v>
      </c>
      <c r="CZ22">
        <f>AE22</f>
        <v>108.25</v>
      </c>
      <c r="DA22">
        <f>AI22</f>
        <v>4.74</v>
      </c>
      <c r="DB22">
        <f>ROUND(ROUND(AT22*CZ22,2),6)</f>
        <v>3572.25</v>
      </c>
      <c r="DC22">
        <f>ROUND(ROUND(AT22*AG22,2),6)</f>
        <v>0</v>
      </c>
      <c r="DD22" t="s">
        <v>3</v>
      </c>
      <c r="DE22" t="s">
        <v>3</v>
      </c>
      <c r="DF22">
        <f>ROUND(ROUND(AE22*AI22,2)*CX22,2)</f>
        <v>7619.68</v>
      </c>
      <c r="DG22">
        <f t="shared" si="7"/>
        <v>0</v>
      </c>
      <c r="DH22">
        <f t="shared" si="8"/>
        <v>0</v>
      </c>
      <c r="DI22">
        <f t="shared" si="4"/>
        <v>0</v>
      </c>
      <c r="DJ22">
        <f>DF22</f>
        <v>7619.68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ROW(Source!A43)</f>
        <v>43</v>
      </c>
      <c r="B23">
        <v>53860087</v>
      </c>
      <c r="C23">
        <v>53861412</v>
      </c>
      <c r="D23">
        <v>29506954</v>
      </c>
      <c r="E23">
        <v>29506949</v>
      </c>
      <c r="F23">
        <v>1</v>
      </c>
      <c r="G23">
        <v>29506949</v>
      </c>
      <c r="H23">
        <v>1</v>
      </c>
      <c r="I23" t="s">
        <v>638</v>
      </c>
      <c r="J23" t="s">
        <v>3</v>
      </c>
      <c r="K23" t="s">
        <v>639</v>
      </c>
      <c r="L23">
        <v>1191</v>
      </c>
      <c r="N23">
        <v>1013</v>
      </c>
      <c r="O23" t="s">
        <v>640</v>
      </c>
      <c r="P23" t="s">
        <v>640</v>
      </c>
      <c r="Q23">
        <v>1</v>
      </c>
      <c r="W23">
        <v>0</v>
      </c>
      <c r="X23">
        <v>476480486</v>
      </c>
      <c r="Y23">
        <f>(AT23*1.15)</f>
        <v>124.61399999999999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108.36</v>
      </c>
      <c r="AU23" t="s">
        <v>52</v>
      </c>
      <c r="AV23">
        <v>1</v>
      </c>
      <c r="AW23">
        <v>2</v>
      </c>
      <c r="AX23">
        <v>53861413</v>
      </c>
      <c r="AY23">
        <v>1</v>
      </c>
      <c r="AZ23">
        <v>0</v>
      </c>
      <c r="BA23">
        <v>48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U23">
        <f>ROUND(AT23*Source!I43*AH23*AL23,2)</f>
        <v>0</v>
      </c>
      <c r="CV23">
        <f>ROUND(Y23*Source!I43,9)</f>
        <v>43.614899999999999</v>
      </c>
      <c r="CW23">
        <v>0</v>
      </c>
      <c r="CX23">
        <f>ROUND(Y23*Source!I43,9)</f>
        <v>43.614899999999999</v>
      </c>
      <c r="CY23">
        <f>AD23</f>
        <v>0</v>
      </c>
      <c r="CZ23">
        <f>AH23</f>
        <v>0</v>
      </c>
      <c r="DA23">
        <f>AL23</f>
        <v>1</v>
      </c>
      <c r="DB23">
        <f>ROUND((ROUND(AT23*CZ23,2)*1.15),6)</f>
        <v>0</v>
      </c>
      <c r="DC23">
        <f>ROUND((ROUND(AT23*AG23,2)*1.15),6)</f>
        <v>0</v>
      </c>
      <c r="DD23" t="s">
        <v>3</v>
      </c>
      <c r="DE23" t="s">
        <v>3</v>
      </c>
      <c r="DF23">
        <f>ROUND(ROUND(AE23,2)*CX23,2)</f>
        <v>0</v>
      </c>
      <c r="DG23">
        <f t="shared" si="7"/>
        <v>0</v>
      </c>
      <c r="DH23">
        <f t="shared" si="8"/>
        <v>0</v>
      </c>
      <c r="DI23">
        <f t="shared" si="4"/>
        <v>0</v>
      </c>
      <c r="DJ23">
        <f>DI23</f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ROW(Source!A43)</f>
        <v>43</v>
      </c>
      <c r="B24">
        <v>53860087</v>
      </c>
      <c r="C24">
        <v>53861412</v>
      </c>
      <c r="D24">
        <v>29580491</v>
      </c>
      <c r="E24">
        <v>1</v>
      </c>
      <c r="F24">
        <v>1</v>
      </c>
      <c r="G24">
        <v>29506949</v>
      </c>
      <c r="H24">
        <v>2</v>
      </c>
      <c r="I24" t="s">
        <v>650</v>
      </c>
      <c r="J24" t="s">
        <v>651</v>
      </c>
      <c r="K24" t="s">
        <v>652</v>
      </c>
      <c r="L24">
        <v>1368</v>
      </c>
      <c r="N24">
        <v>1011</v>
      </c>
      <c r="O24" t="s">
        <v>647</v>
      </c>
      <c r="P24" t="s">
        <v>647</v>
      </c>
      <c r="Q24">
        <v>1</v>
      </c>
      <c r="W24">
        <v>0</v>
      </c>
      <c r="X24">
        <v>-1440889904</v>
      </c>
      <c r="Y24">
        <f>(AT24*1.25)</f>
        <v>0.17500000000000002</v>
      </c>
      <c r="AA24">
        <v>0</v>
      </c>
      <c r="AB24">
        <v>1092.0899999999999</v>
      </c>
      <c r="AC24">
        <v>412.91</v>
      </c>
      <c r="AD24">
        <v>0</v>
      </c>
      <c r="AE24">
        <v>0</v>
      </c>
      <c r="AF24">
        <v>83.1</v>
      </c>
      <c r="AG24">
        <v>12.62</v>
      </c>
      <c r="AH24">
        <v>0</v>
      </c>
      <c r="AI24">
        <v>1</v>
      </c>
      <c r="AJ24">
        <v>12.09</v>
      </c>
      <c r="AK24">
        <v>30.1</v>
      </c>
      <c r="AL24">
        <v>1</v>
      </c>
      <c r="AM24">
        <v>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0.14000000000000001</v>
      </c>
      <c r="AU24" t="s">
        <v>51</v>
      </c>
      <c r="AV24">
        <v>0</v>
      </c>
      <c r="AW24">
        <v>2</v>
      </c>
      <c r="AX24">
        <v>53861414</v>
      </c>
      <c r="AY24">
        <v>1</v>
      </c>
      <c r="AZ24">
        <v>0</v>
      </c>
      <c r="BA24">
        <v>49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f>ROUND(Y24*Source!I43,9)</f>
        <v>6.1249999999999999E-2</v>
      </c>
      <c r="CX24">
        <f>ROUND(Y24*Source!I43,9)</f>
        <v>6.1249999999999999E-2</v>
      </c>
      <c r="CY24">
        <f>AB24</f>
        <v>1092.0899999999999</v>
      </c>
      <c r="CZ24">
        <f>AF24</f>
        <v>83.1</v>
      </c>
      <c r="DA24">
        <f>AJ24</f>
        <v>12.09</v>
      </c>
      <c r="DB24">
        <f>ROUND((ROUND(AT24*CZ24,2)*1.25),6)</f>
        <v>14.5375</v>
      </c>
      <c r="DC24">
        <f>ROUND((ROUND(AT24*AG24,2)*1.25),6)</f>
        <v>2.2124999999999999</v>
      </c>
      <c r="DD24" t="s">
        <v>3</v>
      </c>
      <c r="DE24" t="s">
        <v>3</v>
      </c>
      <c r="DF24">
        <f>ROUND(ROUND(AE24,2)*CX24,2)</f>
        <v>0</v>
      </c>
      <c r="DG24">
        <f>ROUND(ROUND(AF24*AJ24,2)*CX24,2)</f>
        <v>61.54</v>
      </c>
      <c r="DH24">
        <f>ROUND(ROUND(AG24*AK24,2)*CX24,2)</f>
        <v>23.27</v>
      </c>
      <c r="DI24">
        <f t="shared" si="4"/>
        <v>0</v>
      </c>
      <c r="DJ24">
        <f>DG24</f>
        <v>61.54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ROW(Source!A43)</f>
        <v>43</v>
      </c>
      <c r="B25">
        <v>53860087</v>
      </c>
      <c r="C25">
        <v>53861412</v>
      </c>
      <c r="D25">
        <v>29579738</v>
      </c>
      <c r="E25">
        <v>1</v>
      </c>
      <c r="F25">
        <v>1</v>
      </c>
      <c r="G25">
        <v>29506949</v>
      </c>
      <c r="H25">
        <v>2</v>
      </c>
      <c r="I25" t="s">
        <v>665</v>
      </c>
      <c r="J25" t="s">
        <v>666</v>
      </c>
      <c r="K25" t="s">
        <v>667</v>
      </c>
      <c r="L25">
        <v>1368</v>
      </c>
      <c r="N25">
        <v>1011</v>
      </c>
      <c r="O25" t="s">
        <v>647</v>
      </c>
      <c r="P25" t="s">
        <v>647</v>
      </c>
      <c r="Q25">
        <v>1</v>
      </c>
      <c r="W25">
        <v>0</v>
      </c>
      <c r="X25">
        <v>1668154095</v>
      </c>
      <c r="Y25">
        <f>(AT25*1.25)</f>
        <v>0.3125</v>
      </c>
      <c r="AA25">
        <v>0</v>
      </c>
      <c r="AB25">
        <v>2128.6999999999998</v>
      </c>
      <c r="AC25">
        <v>553.92999999999995</v>
      </c>
      <c r="AD25">
        <v>0</v>
      </c>
      <c r="AE25">
        <v>0</v>
      </c>
      <c r="AF25">
        <v>179.17</v>
      </c>
      <c r="AG25">
        <v>16.93</v>
      </c>
      <c r="AH25">
        <v>0</v>
      </c>
      <c r="AI25">
        <v>1</v>
      </c>
      <c r="AJ25">
        <v>10.93</v>
      </c>
      <c r="AK25">
        <v>30.1</v>
      </c>
      <c r="AL25">
        <v>1</v>
      </c>
      <c r="AM25">
        <v>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0.25</v>
      </c>
      <c r="AU25" t="s">
        <v>51</v>
      </c>
      <c r="AV25">
        <v>0</v>
      </c>
      <c r="AW25">
        <v>2</v>
      </c>
      <c r="AX25">
        <v>53861415</v>
      </c>
      <c r="AY25">
        <v>1</v>
      </c>
      <c r="AZ25">
        <v>0</v>
      </c>
      <c r="BA25">
        <v>50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f>ROUND(Y25*Source!I43,9)</f>
        <v>0.109375</v>
      </c>
      <c r="CX25">
        <f>ROUND(Y25*Source!I43,9)</f>
        <v>0.109375</v>
      </c>
      <c r="CY25">
        <f>AB25</f>
        <v>2128.6999999999998</v>
      </c>
      <c r="CZ25">
        <f>AF25</f>
        <v>179.17</v>
      </c>
      <c r="DA25">
        <f>AJ25</f>
        <v>10.93</v>
      </c>
      <c r="DB25">
        <f>ROUND((ROUND(AT25*CZ25,2)*1.25),6)</f>
        <v>55.987499999999997</v>
      </c>
      <c r="DC25">
        <f>ROUND((ROUND(AT25*AG25,2)*1.25),6)</f>
        <v>5.2874999999999996</v>
      </c>
      <c r="DD25" t="s">
        <v>3</v>
      </c>
      <c r="DE25" t="s">
        <v>3</v>
      </c>
      <c r="DF25">
        <f>ROUND(ROUND(AE25,2)*CX25,2)</f>
        <v>0</v>
      </c>
      <c r="DG25">
        <f>ROUND(ROUND(AF25*AJ25,2)*CX25,2)</f>
        <v>214.19</v>
      </c>
      <c r="DH25">
        <f>ROUND(ROUND(AG25*AK25,2)*CX25,2)</f>
        <v>55.74</v>
      </c>
      <c r="DI25">
        <f t="shared" si="4"/>
        <v>0</v>
      </c>
      <c r="DJ25">
        <f>DG25</f>
        <v>214.19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ROW(Source!A43)</f>
        <v>43</v>
      </c>
      <c r="B26">
        <v>53860087</v>
      </c>
      <c r="C26">
        <v>53861412</v>
      </c>
      <c r="D26">
        <v>31659070</v>
      </c>
      <c r="E26">
        <v>1</v>
      </c>
      <c r="F26">
        <v>1</v>
      </c>
      <c r="G26">
        <v>29506949</v>
      </c>
      <c r="H26">
        <v>2</v>
      </c>
      <c r="I26" t="s">
        <v>668</v>
      </c>
      <c r="J26" t="s">
        <v>669</v>
      </c>
      <c r="K26" t="s">
        <v>670</v>
      </c>
      <c r="L26">
        <v>1368</v>
      </c>
      <c r="N26">
        <v>1011</v>
      </c>
      <c r="O26" t="s">
        <v>647</v>
      </c>
      <c r="P26" t="s">
        <v>647</v>
      </c>
      <c r="Q26">
        <v>1</v>
      </c>
      <c r="W26">
        <v>0</v>
      </c>
      <c r="X26">
        <v>526760848</v>
      </c>
      <c r="Y26">
        <f>(AT26*1.25)</f>
        <v>20.25</v>
      </c>
      <c r="AA26">
        <v>0</v>
      </c>
      <c r="AB26">
        <v>38.700000000000003</v>
      </c>
      <c r="AC26">
        <v>0</v>
      </c>
      <c r="AD26">
        <v>0</v>
      </c>
      <c r="AE26">
        <v>0</v>
      </c>
      <c r="AF26">
        <v>4</v>
      </c>
      <c r="AG26">
        <v>0</v>
      </c>
      <c r="AH26">
        <v>0</v>
      </c>
      <c r="AI26">
        <v>1</v>
      </c>
      <c r="AJ26">
        <v>8.9</v>
      </c>
      <c r="AK26">
        <v>30.1</v>
      </c>
      <c r="AL26">
        <v>1</v>
      </c>
      <c r="AM26">
        <v>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16.2</v>
      </c>
      <c r="AU26" t="s">
        <v>51</v>
      </c>
      <c r="AV26">
        <v>0</v>
      </c>
      <c r="AW26">
        <v>2</v>
      </c>
      <c r="AX26">
        <v>53861416</v>
      </c>
      <c r="AY26">
        <v>1</v>
      </c>
      <c r="AZ26">
        <v>0</v>
      </c>
      <c r="BA26">
        <v>51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f>ROUND(Y26*Source!I43,9)</f>
        <v>7.0875000000000004</v>
      </c>
      <c r="CX26">
        <f>ROUND(Y26*Source!I43,9)</f>
        <v>7.0875000000000004</v>
      </c>
      <c r="CY26">
        <f>AB26</f>
        <v>38.700000000000003</v>
      </c>
      <c r="CZ26">
        <f>AF26</f>
        <v>4</v>
      </c>
      <c r="DA26">
        <f>AJ26</f>
        <v>8.9</v>
      </c>
      <c r="DB26">
        <f>ROUND((ROUND(AT26*CZ26,2)*1.25),6)</f>
        <v>81</v>
      </c>
      <c r="DC26">
        <f>ROUND((ROUND(AT26*AG26,2)*1.25),6)</f>
        <v>0</v>
      </c>
      <c r="DD26" t="s">
        <v>3</v>
      </c>
      <c r="DE26" t="s">
        <v>3</v>
      </c>
      <c r="DF26">
        <f>ROUND(ROUND(AE26,2)*CX26,2)</f>
        <v>0</v>
      </c>
      <c r="DG26">
        <f>ROUND(ROUND(AF26*AJ26,2)*CX26,2)</f>
        <v>252.32</v>
      </c>
      <c r="DH26">
        <f>ROUND(ROUND(AG26*AK26,2)*CX26,2)</f>
        <v>0</v>
      </c>
      <c r="DI26">
        <f t="shared" si="4"/>
        <v>0</v>
      </c>
      <c r="DJ26">
        <f>DG26</f>
        <v>252.32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ROW(Source!A43)</f>
        <v>43</v>
      </c>
      <c r="B27">
        <v>53860087</v>
      </c>
      <c r="C27">
        <v>53861412</v>
      </c>
      <c r="D27">
        <v>29577323</v>
      </c>
      <c r="E27">
        <v>1</v>
      </c>
      <c r="F27">
        <v>1</v>
      </c>
      <c r="G27">
        <v>29506949</v>
      </c>
      <c r="H27">
        <v>3</v>
      </c>
      <c r="I27" t="s">
        <v>98</v>
      </c>
      <c r="J27" t="s">
        <v>101</v>
      </c>
      <c r="K27" t="s">
        <v>99</v>
      </c>
      <c r="L27">
        <v>1327</v>
      </c>
      <c r="N27">
        <v>1005</v>
      </c>
      <c r="O27" t="s">
        <v>100</v>
      </c>
      <c r="P27" t="s">
        <v>100</v>
      </c>
      <c r="Q27">
        <v>1</v>
      </c>
      <c r="W27">
        <v>0</v>
      </c>
      <c r="X27">
        <v>1036276107</v>
      </c>
      <c r="Y27">
        <f>AT27</f>
        <v>100</v>
      </c>
      <c r="AA27">
        <v>810.28</v>
      </c>
      <c r="AB27">
        <v>0</v>
      </c>
      <c r="AC27">
        <v>0</v>
      </c>
      <c r="AD27">
        <v>0</v>
      </c>
      <c r="AE27">
        <v>169.87</v>
      </c>
      <c r="AF27">
        <v>0</v>
      </c>
      <c r="AG27">
        <v>0</v>
      </c>
      <c r="AH27">
        <v>0</v>
      </c>
      <c r="AI27">
        <v>4.7699999999999996</v>
      </c>
      <c r="AJ27">
        <v>1</v>
      </c>
      <c r="AK27">
        <v>1</v>
      </c>
      <c r="AL27">
        <v>1</v>
      </c>
      <c r="AM27">
        <v>0</v>
      </c>
      <c r="AN27">
        <v>0</v>
      </c>
      <c r="AO27">
        <v>0</v>
      </c>
      <c r="AP27">
        <v>1</v>
      </c>
      <c r="AQ27">
        <v>0</v>
      </c>
      <c r="AR27">
        <v>0</v>
      </c>
      <c r="AS27" t="s">
        <v>3</v>
      </c>
      <c r="AT27">
        <v>100</v>
      </c>
      <c r="AU27" t="s">
        <v>3</v>
      </c>
      <c r="AV27">
        <v>0</v>
      </c>
      <c r="AW27">
        <v>1</v>
      </c>
      <c r="AX27">
        <v>-1</v>
      </c>
      <c r="AY27">
        <v>0</v>
      </c>
      <c r="AZ27">
        <v>0</v>
      </c>
      <c r="BA27" t="s">
        <v>3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ROUND(Y27*Source!I43,9)</f>
        <v>35</v>
      </c>
      <c r="CY27">
        <f>AA27</f>
        <v>810.28</v>
      </c>
      <c r="CZ27">
        <f>AE27</f>
        <v>169.87</v>
      </c>
      <c r="DA27">
        <f>AI27</f>
        <v>4.7699999999999996</v>
      </c>
      <c r="DB27">
        <f>ROUND(ROUND(AT27*CZ27,2),6)</f>
        <v>16987</v>
      </c>
      <c r="DC27">
        <f>ROUND(ROUND(AT27*AG27,2),6)</f>
        <v>0</v>
      </c>
      <c r="DD27" t="s">
        <v>3</v>
      </c>
      <c r="DE27" t="s">
        <v>3</v>
      </c>
      <c r="DF27">
        <f>ROUND(ROUND(AE27*AI27,2)*CX27,2)</f>
        <v>28359.8</v>
      </c>
      <c r="DG27">
        <f>ROUND(ROUND(AF27,2)*CX27,2)</f>
        <v>0</v>
      </c>
      <c r="DH27">
        <f>ROUND(ROUND(AG27,2)*CX27,2)</f>
        <v>0</v>
      </c>
      <c r="DI27">
        <f t="shared" si="4"/>
        <v>0</v>
      </c>
      <c r="DJ27">
        <f>DF27</f>
        <v>28359.8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ROW(Source!A45)</f>
        <v>45</v>
      </c>
      <c r="B28">
        <v>53860087</v>
      </c>
      <c r="C28">
        <v>53860264</v>
      </c>
      <c r="D28">
        <v>29506954</v>
      </c>
      <c r="E28">
        <v>29506949</v>
      </c>
      <c r="F28">
        <v>1</v>
      </c>
      <c r="G28">
        <v>29506949</v>
      </c>
      <c r="H28">
        <v>1</v>
      </c>
      <c r="I28" t="s">
        <v>638</v>
      </c>
      <c r="J28" t="s">
        <v>3</v>
      </c>
      <c r="K28" t="s">
        <v>639</v>
      </c>
      <c r="L28">
        <v>1191</v>
      </c>
      <c r="N28">
        <v>1013</v>
      </c>
      <c r="O28" t="s">
        <v>640</v>
      </c>
      <c r="P28" t="s">
        <v>640</v>
      </c>
      <c r="Q28">
        <v>1</v>
      </c>
      <c r="W28">
        <v>0</v>
      </c>
      <c r="X28">
        <v>476480486</v>
      </c>
      <c r="Y28">
        <f>(AT28*1.15)</f>
        <v>448.49999999999994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390</v>
      </c>
      <c r="AU28" t="s">
        <v>52</v>
      </c>
      <c r="AV28">
        <v>1</v>
      </c>
      <c r="AW28">
        <v>2</v>
      </c>
      <c r="AX28">
        <v>53860270</v>
      </c>
      <c r="AY28">
        <v>1</v>
      </c>
      <c r="AZ28">
        <v>0</v>
      </c>
      <c r="BA28">
        <v>53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U28">
        <f>ROUND(AT28*Source!I45*AH28*AL28,2)</f>
        <v>0</v>
      </c>
      <c r="CV28">
        <f>ROUND(Y28*Source!I45,9)</f>
        <v>38.122500000000002</v>
      </c>
      <c r="CW28">
        <v>0</v>
      </c>
      <c r="CX28">
        <f>ROUND(Y28*Source!I45,9)</f>
        <v>38.122500000000002</v>
      </c>
      <c r="CY28">
        <f>AD28</f>
        <v>0</v>
      </c>
      <c r="CZ28">
        <f>AH28</f>
        <v>0</v>
      </c>
      <c r="DA28">
        <f>AL28</f>
        <v>1</v>
      </c>
      <c r="DB28">
        <f>ROUND((ROUND(AT28*CZ28,2)*1.15),6)</f>
        <v>0</v>
      </c>
      <c r="DC28">
        <f>ROUND((ROUND(AT28*AG28,2)*1.15),6)</f>
        <v>0</v>
      </c>
      <c r="DD28" t="s">
        <v>3</v>
      </c>
      <c r="DE28" t="s">
        <v>3</v>
      </c>
      <c r="DF28">
        <f>ROUND(ROUND(AE28,2)*CX28,2)</f>
        <v>0</v>
      </c>
      <c r="DG28">
        <f>ROUND(ROUND(AF28,2)*CX28,2)</f>
        <v>0</v>
      </c>
      <c r="DH28">
        <f>ROUND(ROUND(AG28,2)*CX28,2)</f>
        <v>0</v>
      </c>
      <c r="DI28">
        <f t="shared" si="4"/>
        <v>0</v>
      </c>
      <c r="DJ28">
        <f>DI28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ROW(Source!A45)</f>
        <v>45</v>
      </c>
      <c r="B29">
        <v>53860087</v>
      </c>
      <c r="C29">
        <v>53860264</v>
      </c>
      <c r="D29">
        <v>29579738</v>
      </c>
      <c r="E29">
        <v>1</v>
      </c>
      <c r="F29">
        <v>1</v>
      </c>
      <c r="G29">
        <v>29506949</v>
      </c>
      <c r="H29">
        <v>2</v>
      </c>
      <c r="I29" t="s">
        <v>665</v>
      </c>
      <c r="J29" t="s">
        <v>666</v>
      </c>
      <c r="K29" t="s">
        <v>667</v>
      </c>
      <c r="L29">
        <v>1368</v>
      </c>
      <c r="N29">
        <v>1011</v>
      </c>
      <c r="O29" t="s">
        <v>647</v>
      </c>
      <c r="P29" t="s">
        <v>647</v>
      </c>
      <c r="Q29">
        <v>1</v>
      </c>
      <c r="W29">
        <v>0</v>
      </c>
      <c r="X29">
        <v>1668154095</v>
      </c>
      <c r="Y29">
        <f>(AT29*1.25)</f>
        <v>2.5287500000000001</v>
      </c>
      <c r="AA29">
        <v>0</v>
      </c>
      <c r="AB29">
        <v>1958.33</v>
      </c>
      <c r="AC29">
        <v>509.59</v>
      </c>
      <c r="AD29">
        <v>0</v>
      </c>
      <c r="AE29">
        <v>0</v>
      </c>
      <c r="AF29">
        <v>179.17</v>
      </c>
      <c r="AG29">
        <v>16.93</v>
      </c>
      <c r="AH29">
        <v>0</v>
      </c>
      <c r="AI29">
        <v>1</v>
      </c>
      <c r="AJ29">
        <v>10.93</v>
      </c>
      <c r="AK29">
        <v>30.1</v>
      </c>
      <c r="AL29">
        <v>1</v>
      </c>
      <c r="AM29">
        <v>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2.0230000000000001</v>
      </c>
      <c r="AU29" t="s">
        <v>51</v>
      </c>
      <c r="AV29">
        <v>0</v>
      </c>
      <c r="AW29">
        <v>2</v>
      </c>
      <c r="AX29">
        <v>53860271</v>
      </c>
      <c r="AY29">
        <v>1</v>
      </c>
      <c r="AZ29">
        <v>0</v>
      </c>
      <c r="BA29">
        <v>54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f>ROUND(Y29*Source!I45,9)</f>
        <v>0.21494374999999999</v>
      </c>
      <c r="CX29">
        <f>ROUND(Y29*Source!I45,9)</f>
        <v>0.21494374999999999</v>
      </c>
      <c r="CY29">
        <f>AB29</f>
        <v>1958.33</v>
      </c>
      <c r="CZ29">
        <f>AF29</f>
        <v>179.17</v>
      </c>
      <c r="DA29">
        <f>AJ29</f>
        <v>10.93</v>
      </c>
      <c r="DB29">
        <f>ROUND((ROUND(AT29*CZ29,2)*1.25),6)</f>
        <v>453.07499999999999</v>
      </c>
      <c r="DC29">
        <f>ROUND((ROUND(AT29*AG29,2)*1.25),6)</f>
        <v>42.8125</v>
      </c>
      <c r="DD29" t="s">
        <v>3</v>
      </c>
      <c r="DE29" t="s">
        <v>3</v>
      </c>
      <c r="DF29">
        <f>ROUND(ROUND(AE29,2)*CX29,2)</f>
        <v>0</v>
      </c>
      <c r="DG29">
        <f>ROUND(ROUND(AF29*AJ29,2)*CX29,2)</f>
        <v>420.93</v>
      </c>
      <c r="DH29">
        <f>ROUND(ROUND(AG29*AK29,2)*CX29,2)</f>
        <v>109.53</v>
      </c>
      <c r="DI29">
        <f t="shared" si="4"/>
        <v>0</v>
      </c>
      <c r="DJ29">
        <f>DG29</f>
        <v>420.93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ROW(Source!A45)</f>
        <v>45</v>
      </c>
      <c r="B30">
        <v>53860087</v>
      </c>
      <c r="C30">
        <v>53860264</v>
      </c>
      <c r="D30">
        <v>31659070</v>
      </c>
      <c r="E30">
        <v>1</v>
      </c>
      <c r="F30">
        <v>1</v>
      </c>
      <c r="G30">
        <v>29506949</v>
      </c>
      <c r="H30">
        <v>2</v>
      </c>
      <c r="I30" t="s">
        <v>668</v>
      </c>
      <c r="J30" t="s">
        <v>669</v>
      </c>
      <c r="K30" t="s">
        <v>670</v>
      </c>
      <c r="L30">
        <v>1368</v>
      </c>
      <c r="N30">
        <v>1011</v>
      </c>
      <c r="O30" t="s">
        <v>647</v>
      </c>
      <c r="P30" t="s">
        <v>647</v>
      </c>
      <c r="Q30">
        <v>1</v>
      </c>
      <c r="W30">
        <v>0</v>
      </c>
      <c r="X30">
        <v>526760848</v>
      </c>
      <c r="Y30">
        <f>(AT30*1.25)</f>
        <v>24.012500000000003</v>
      </c>
      <c r="AA30">
        <v>0</v>
      </c>
      <c r="AB30">
        <v>35.6</v>
      </c>
      <c r="AC30">
        <v>0</v>
      </c>
      <c r="AD30">
        <v>0</v>
      </c>
      <c r="AE30">
        <v>0</v>
      </c>
      <c r="AF30">
        <v>4</v>
      </c>
      <c r="AG30">
        <v>0</v>
      </c>
      <c r="AH30">
        <v>0</v>
      </c>
      <c r="AI30">
        <v>1</v>
      </c>
      <c r="AJ30">
        <v>8.9</v>
      </c>
      <c r="AK30">
        <v>30.1</v>
      </c>
      <c r="AL30">
        <v>1</v>
      </c>
      <c r="AM30">
        <v>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19.21</v>
      </c>
      <c r="AU30" t="s">
        <v>51</v>
      </c>
      <c r="AV30">
        <v>0</v>
      </c>
      <c r="AW30">
        <v>2</v>
      </c>
      <c r="AX30">
        <v>53860272</v>
      </c>
      <c r="AY30">
        <v>1</v>
      </c>
      <c r="AZ30">
        <v>0</v>
      </c>
      <c r="BA30">
        <v>55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f>ROUND(Y30*Source!I45,9)</f>
        <v>2.0410624999999998</v>
      </c>
      <c r="CX30">
        <f>ROUND(Y30*Source!I45,9)</f>
        <v>2.0410624999999998</v>
      </c>
      <c r="CY30">
        <f>AB30</f>
        <v>35.6</v>
      </c>
      <c r="CZ30">
        <f>AF30</f>
        <v>4</v>
      </c>
      <c r="DA30">
        <f>AJ30</f>
        <v>8.9</v>
      </c>
      <c r="DB30">
        <f>ROUND((ROUND(AT30*CZ30,2)*1.25),6)</f>
        <v>96.05</v>
      </c>
      <c r="DC30">
        <f>ROUND((ROUND(AT30*AG30,2)*1.25),6)</f>
        <v>0</v>
      </c>
      <c r="DD30" t="s">
        <v>3</v>
      </c>
      <c r="DE30" t="s">
        <v>3</v>
      </c>
      <c r="DF30">
        <f>ROUND(ROUND(AE30,2)*CX30,2)</f>
        <v>0</v>
      </c>
      <c r="DG30">
        <f>ROUND(ROUND(AF30*AJ30,2)*CX30,2)</f>
        <v>72.66</v>
      </c>
      <c r="DH30">
        <f>ROUND(ROUND(AG30*AK30,2)*CX30,2)</f>
        <v>0</v>
      </c>
      <c r="DI30">
        <f t="shared" si="4"/>
        <v>0</v>
      </c>
      <c r="DJ30">
        <f>DG30</f>
        <v>72.66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ROW(Source!A45)</f>
        <v>45</v>
      </c>
      <c r="B31">
        <v>53860087</v>
      </c>
      <c r="C31">
        <v>53860264</v>
      </c>
      <c r="D31">
        <v>29556910</v>
      </c>
      <c r="E31">
        <v>1</v>
      </c>
      <c r="F31">
        <v>1</v>
      </c>
      <c r="G31">
        <v>29506949</v>
      </c>
      <c r="H31">
        <v>3</v>
      </c>
      <c r="I31" t="s">
        <v>671</v>
      </c>
      <c r="J31" t="s">
        <v>672</v>
      </c>
      <c r="K31" t="s">
        <v>673</v>
      </c>
      <c r="L31">
        <v>1348</v>
      </c>
      <c r="N31">
        <v>1009</v>
      </c>
      <c r="O31" t="s">
        <v>75</v>
      </c>
      <c r="P31" t="s">
        <v>75</v>
      </c>
      <c r="Q31">
        <v>1000</v>
      </c>
      <c r="W31">
        <v>0</v>
      </c>
      <c r="X31">
        <v>1212148528</v>
      </c>
      <c r="Y31">
        <f>AT31</f>
        <v>8.0000000000000002E-3</v>
      </c>
      <c r="AA31">
        <v>152969.79999999999</v>
      </c>
      <c r="AB31">
        <v>0</v>
      </c>
      <c r="AC31">
        <v>0</v>
      </c>
      <c r="AD31">
        <v>0</v>
      </c>
      <c r="AE31">
        <v>7191.81</v>
      </c>
      <c r="AF31">
        <v>0</v>
      </c>
      <c r="AG31">
        <v>0</v>
      </c>
      <c r="AH31">
        <v>0</v>
      </c>
      <c r="AI31">
        <v>21.27</v>
      </c>
      <c r="AJ31">
        <v>1</v>
      </c>
      <c r="AK31">
        <v>1</v>
      </c>
      <c r="AL31">
        <v>1</v>
      </c>
      <c r="AM31">
        <v>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8.0000000000000002E-3</v>
      </c>
      <c r="AU31" t="s">
        <v>3</v>
      </c>
      <c r="AV31">
        <v>0</v>
      </c>
      <c r="AW31">
        <v>2</v>
      </c>
      <c r="AX31">
        <v>53860273</v>
      </c>
      <c r="AY31">
        <v>1</v>
      </c>
      <c r="AZ31">
        <v>0</v>
      </c>
      <c r="BA31">
        <v>56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ROUND(Y31*Source!I45,9)</f>
        <v>6.8000000000000005E-4</v>
      </c>
      <c r="CY31">
        <f>AA31</f>
        <v>152969.79999999999</v>
      </c>
      <c r="CZ31">
        <f>AE31</f>
        <v>7191.81</v>
      </c>
      <c r="DA31">
        <f>AI31</f>
        <v>21.27</v>
      </c>
      <c r="DB31">
        <f>ROUND(ROUND(AT31*CZ31,2),6)</f>
        <v>57.53</v>
      </c>
      <c r="DC31">
        <f>ROUND(ROUND(AT31*AG31,2),6)</f>
        <v>0</v>
      </c>
      <c r="DD31" t="s">
        <v>3</v>
      </c>
      <c r="DE31" t="s">
        <v>3</v>
      </c>
      <c r="DF31">
        <f>ROUND(ROUND(AE31*AI31,2)*CX31,2)</f>
        <v>104.02</v>
      </c>
      <c r="DG31">
        <f t="shared" ref="DG31:DG40" si="9">ROUND(ROUND(AF31,2)*CX31,2)</f>
        <v>0</v>
      </c>
      <c r="DH31">
        <f t="shared" ref="DH31:DH40" si="10">ROUND(ROUND(AG31,2)*CX31,2)</f>
        <v>0</v>
      </c>
      <c r="DI31">
        <f t="shared" si="4"/>
        <v>0</v>
      </c>
      <c r="DJ31">
        <f>DF31</f>
        <v>104.02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ROW(Source!A45)</f>
        <v>45</v>
      </c>
      <c r="B32">
        <v>53860087</v>
      </c>
      <c r="C32">
        <v>53860264</v>
      </c>
      <c r="D32">
        <v>29577097</v>
      </c>
      <c r="E32">
        <v>1</v>
      </c>
      <c r="F32">
        <v>1</v>
      </c>
      <c r="G32">
        <v>29506949</v>
      </c>
      <c r="H32">
        <v>3</v>
      </c>
      <c r="I32" t="s">
        <v>674</v>
      </c>
      <c r="J32" t="s">
        <v>675</v>
      </c>
      <c r="K32" t="s">
        <v>676</v>
      </c>
      <c r="L32">
        <v>1348</v>
      </c>
      <c r="N32">
        <v>1009</v>
      </c>
      <c r="O32" t="s">
        <v>75</v>
      </c>
      <c r="P32" t="s">
        <v>75</v>
      </c>
      <c r="Q32">
        <v>1000</v>
      </c>
      <c r="W32">
        <v>0</v>
      </c>
      <c r="X32">
        <v>-529019418</v>
      </c>
      <c r="Y32">
        <f>AT32</f>
        <v>2.3E-2</v>
      </c>
      <c r="AA32">
        <v>107812.68</v>
      </c>
      <c r="AB32">
        <v>0</v>
      </c>
      <c r="AC32">
        <v>0</v>
      </c>
      <c r="AD32">
        <v>0</v>
      </c>
      <c r="AE32">
        <v>12654.07</v>
      </c>
      <c r="AF32">
        <v>0</v>
      </c>
      <c r="AG32">
        <v>0</v>
      </c>
      <c r="AH32">
        <v>0</v>
      </c>
      <c r="AI32">
        <v>8.52</v>
      </c>
      <c r="AJ32">
        <v>1</v>
      </c>
      <c r="AK32">
        <v>1</v>
      </c>
      <c r="AL32">
        <v>1</v>
      </c>
      <c r="AM32">
        <v>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2.3E-2</v>
      </c>
      <c r="AU32" t="s">
        <v>3</v>
      </c>
      <c r="AV32">
        <v>0</v>
      </c>
      <c r="AW32">
        <v>2</v>
      </c>
      <c r="AX32">
        <v>53860274</v>
      </c>
      <c r="AY32">
        <v>1</v>
      </c>
      <c r="AZ32">
        <v>0</v>
      </c>
      <c r="BA32">
        <v>57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ROUND(Y32*Source!I45,9)</f>
        <v>1.9550000000000001E-3</v>
      </c>
      <c r="CY32">
        <f>AA32</f>
        <v>107812.68</v>
      </c>
      <c r="CZ32">
        <f>AE32</f>
        <v>12654.07</v>
      </c>
      <c r="DA32">
        <f>AI32</f>
        <v>8.52</v>
      </c>
      <c r="DB32">
        <f>ROUND(ROUND(AT32*CZ32,2),6)</f>
        <v>291.04000000000002</v>
      </c>
      <c r="DC32">
        <f>ROUND(ROUND(AT32*AG32,2),6)</f>
        <v>0</v>
      </c>
      <c r="DD32" t="s">
        <v>3</v>
      </c>
      <c r="DE32" t="s">
        <v>3</v>
      </c>
      <c r="DF32">
        <f>ROUND(ROUND(AE32*AI32,2)*CX32,2)</f>
        <v>210.77</v>
      </c>
      <c r="DG32">
        <f t="shared" si="9"/>
        <v>0</v>
      </c>
      <c r="DH32">
        <f t="shared" si="10"/>
        <v>0</v>
      </c>
      <c r="DI32">
        <f t="shared" si="4"/>
        <v>0</v>
      </c>
      <c r="DJ32">
        <f>DF32</f>
        <v>210.77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ROW(Source!A45)</f>
        <v>45</v>
      </c>
      <c r="B33">
        <v>53860087</v>
      </c>
      <c r="C33">
        <v>53860264</v>
      </c>
      <c r="D33">
        <v>29577323</v>
      </c>
      <c r="E33">
        <v>1</v>
      </c>
      <c r="F33">
        <v>1</v>
      </c>
      <c r="G33">
        <v>29506949</v>
      </c>
      <c r="H33">
        <v>3</v>
      </c>
      <c r="I33" t="s">
        <v>98</v>
      </c>
      <c r="J33" t="s">
        <v>101</v>
      </c>
      <c r="K33" t="s">
        <v>99</v>
      </c>
      <c r="L33">
        <v>1327</v>
      </c>
      <c r="N33">
        <v>1005</v>
      </c>
      <c r="O33" t="s">
        <v>100</v>
      </c>
      <c r="P33" t="s">
        <v>100</v>
      </c>
      <c r="Q33">
        <v>1</v>
      </c>
      <c r="W33">
        <v>0</v>
      </c>
      <c r="X33">
        <v>1036276107</v>
      </c>
      <c r="Y33">
        <f>AT33</f>
        <v>100</v>
      </c>
      <c r="AA33">
        <v>810.28</v>
      </c>
      <c r="AB33">
        <v>0</v>
      </c>
      <c r="AC33">
        <v>0</v>
      </c>
      <c r="AD33">
        <v>0</v>
      </c>
      <c r="AE33">
        <v>169.87</v>
      </c>
      <c r="AF33">
        <v>0</v>
      </c>
      <c r="AG33">
        <v>0</v>
      </c>
      <c r="AH33">
        <v>0</v>
      </c>
      <c r="AI33">
        <v>4.7699999999999996</v>
      </c>
      <c r="AJ33">
        <v>1</v>
      </c>
      <c r="AK33">
        <v>1</v>
      </c>
      <c r="AL33">
        <v>1</v>
      </c>
      <c r="AM33">
        <v>0</v>
      </c>
      <c r="AN33">
        <v>0</v>
      </c>
      <c r="AO33">
        <v>0</v>
      </c>
      <c r="AP33">
        <v>1</v>
      </c>
      <c r="AQ33">
        <v>0</v>
      </c>
      <c r="AR33">
        <v>0</v>
      </c>
      <c r="AS33" t="s">
        <v>3</v>
      </c>
      <c r="AT33">
        <v>100</v>
      </c>
      <c r="AU33" t="s">
        <v>3</v>
      </c>
      <c r="AV33">
        <v>0</v>
      </c>
      <c r="AW33">
        <v>1</v>
      </c>
      <c r="AX33">
        <v>-1</v>
      </c>
      <c r="AY33">
        <v>0</v>
      </c>
      <c r="AZ33">
        <v>0</v>
      </c>
      <c r="BA33" t="s">
        <v>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ROUND(Y33*Source!I45,9)</f>
        <v>8.5</v>
      </c>
      <c r="CY33">
        <f>AA33</f>
        <v>810.28</v>
      </c>
      <c r="CZ33">
        <f>AE33</f>
        <v>169.87</v>
      </c>
      <c r="DA33">
        <f>AI33</f>
        <v>4.7699999999999996</v>
      </c>
      <c r="DB33">
        <f>ROUND(ROUND(AT33*CZ33,2),6)</f>
        <v>16987</v>
      </c>
      <c r="DC33">
        <f>ROUND(ROUND(AT33*AG33,2),6)</f>
        <v>0</v>
      </c>
      <c r="DD33" t="s">
        <v>3</v>
      </c>
      <c r="DE33" t="s">
        <v>3</v>
      </c>
      <c r="DF33">
        <f>ROUND(ROUND(AE33*AI33,2)*CX33,2)</f>
        <v>6887.38</v>
      </c>
      <c r="DG33">
        <f t="shared" si="9"/>
        <v>0</v>
      </c>
      <c r="DH33">
        <f t="shared" si="10"/>
        <v>0</v>
      </c>
      <c r="DI33">
        <f t="shared" si="4"/>
        <v>0</v>
      </c>
      <c r="DJ33">
        <f>DF33</f>
        <v>6887.38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ROW(Source!A47)</f>
        <v>47</v>
      </c>
      <c r="B34">
        <v>53860087</v>
      </c>
      <c r="C34">
        <v>53860278</v>
      </c>
      <c r="D34">
        <v>29506954</v>
      </c>
      <c r="E34">
        <v>29506949</v>
      </c>
      <c r="F34">
        <v>1</v>
      </c>
      <c r="G34">
        <v>29506949</v>
      </c>
      <c r="H34">
        <v>1</v>
      </c>
      <c r="I34" t="s">
        <v>638</v>
      </c>
      <c r="J34" t="s">
        <v>3</v>
      </c>
      <c r="K34" t="s">
        <v>639</v>
      </c>
      <c r="L34">
        <v>1191</v>
      </c>
      <c r="N34">
        <v>1013</v>
      </c>
      <c r="O34" t="s">
        <v>640</v>
      </c>
      <c r="P34" t="s">
        <v>640</v>
      </c>
      <c r="Q34">
        <v>1</v>
      </c>
      <c r="W34">
        <v>0</v>
      </c>
      <c r="X34">
        <v>476480486</v>
      </c>
      <c r="Y34">
        <f>(AT34*1.15)</f>
        <v>202.39999999999998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176</v>
      </c>
      <c r="AU34" t="s">
        <v>52</v>
      </c>
      <c r="AV34">
        <v>1</v>
      </c>
      <c r="AW34">
        <v>2</v>
      </c>
      <c r="AX34">
        <v>53861080</v>
      </c>
      <c r="AY34">
        <v>1</v>
      </c>
      <c r="AZ34">
        <v>0</v>
      </c>
      <c r="BA34">
        <v>59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ROUND(AT34*Source!I47*AH34*AL34,2)</f>
        <v>0</v>
      </c>
      <c r="CV34">
        <f>ROUND(Y34*Source!I47,9)</f>
        <v>80.959999999999994</v>
      </c>
      <c r="CW34">
        <v>0</v>
      </c>
      <c r="CX34">
        <f>ROUND(Y34*Source!I47,9)</f>
        <v>80.959999999999994</v>
      </c>
      <c r="CY34">
        <f>AD34</f>
        <v>0</v>
      </c>
      <c r="CZ34">
        <f>AH34</f>
        <v>0</v>
      </c>
      <c r="DA34">
        <f>AL34</f>
        <v>1</v>
      </c>
      <c r="DB34">
        <f>ROUND((ROUND(AT34*CZ34,2)*1.15),6)</f>
        <v>0</v>
      </c>
      <c r="DC34">
        <f>ROUND((ROUND(AT34*AG34,2)*1.15),6)</f>
        <v>0</v>
      </c>
      <c r="DD34" t="s">
        <v>3</v>
      </c>
      <c r="DE34" t="s">
        <v>3</v>
      </c>
      <c r="DF34">
        <f>ROUND(ROUND(AE34,2)*CX34,2)</f>
        <v>0</v>
      </c>
      <c r="DG34">
        <f t="shared" si="9"/>
        <v>0</v>
      </c>
      <c r="DH34">
        <f t="shared" si="10"/>
        <v>0</v>
      </c>
      <c r="DI34">
        <f t="shared" si="4"/>
        <v>0</v>
      </c>
      <c r="DJ34">
        <f>DI34</f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ROW(Source!A47)</f>
        <v>47</v>
      </c>
      <c r="B35">
        <v>53860087</v>
      </c>
      <c r="C35">
        <v>53860278</v>
      </c>
      <c r="D35">
        <v>29507683</v>
      </c>
      <c r="E35">
        <v>29506949</v>
      </c>
      <c r="F35">
        <v>1</v>
      </c>
      <c r="G35">
        <v>29506949</v>
      </c>
      <c r="H35">
        <v>2</v>
      </c>
      <c r="I35" t="s">
        <v>641</v>
      </c>
      <c r="J35" t="s">
        <v>3</v>
      </c>
      <c r="K35" t="s">
        <v>642</v>
      </c>
      <c r="L35">
        <v>1344</v>
      </c>
      <c r="N35">
        <v>1008</v>
      </c>
      <c r="O35" t="s">
        <v>643</v>
      </c>
      <c r="P35" t="s">
        <v>643</v>
      </c>
      <c r="Q35">
        <v>1</v>
      </c>
      <c r="W35">
        <v>0</v>
      </c>
      <c r="X35">
        <v>-1180195794</v>
      </c>
      <c r="Y35">
        <f>(AT35*1.25)</f>
        <v>24.574999999999999</v>
      </c>
      <c r="AA35">
        <v>0</v>
      </c>
      <c r="AB35">
        <v>1.03</v>
      </c>
      <c r="AC35">
        <v>0</v>
      </c>
      <c r="AD35">
        <v>0</v>
      </c>
      <c r="AE35">
        <v>0</v>
      </c>
      <c r="AF35">
        <v>1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19.66</v>
      </c>
      <c r="AU35" t="s">
        <v>51</v>
      </c>
      <c r="AV35">
        <v>0</v>
      </c>
      <c r="AW35">
        <v>1</v>
      </c>
      <c r="AX35">
        <v>-1</v>
      </c>
      <c r="AY35">
        <v>0</v>
      </c>
      <c r="AZ35">
        <v>0</v>
      </c>
      <c r="BA35" t="s">
        <v>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ROUND(Y35*Source!I47,9)</f>
        <v>9.83</v>
      </c>
      <c r="CX35">
        <f>ROUND(Y35*Source!I47,9)</f>
        <v>9.83</v>
      </c>
      <c r="CY35">
        <f>AB35</f>
        <v>1.03</v>
      </c>
      <c r="CZ35">
        <f>AF35</f>
        <v>1</v>
      </c>
      <c r="DA35">
        <f>AJ35</f>
        <v>1</v>
      </c>
      <c r="DB35">
        <f>ROUND((ROUND(AT35*CZ35,2)*1.25),6)</f>
        <v>24.574999999999999</v>
      </c>
      <c r="DC35">
        <f>ROUND((ROUND(AT35*AG35,2)*1.25),6)</f>
        <v>0</v>
      </c>
      <c r="DD35" t="s">
        <v>3</v>
      </c>
      <c r="DE35" t="s">
        <v>3</v>
      </c>
      <c r="DF35">
        <f>ROUND(ROUND(AE35,2)*CX35,2)</f>
        <v>0</v>
      </c>
      <c r="DG35">
        <f t="shared" si="9"/>
        <v>9.83</v>
      </c>
      <c r="DH35">
        <f t="shared" si="10"/>
        <v>0</v>
      </c>
      <c r="DI35">
        <f t="shared" si="4"/>
        <v>0</v>
      </c>
      <c r="DJ35">
        <f>DG35</f>
        <v>9.83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ROW(Source!A47)</f>
        <v>47</v>
      </c>
      <c r="B36">
        <v>53860087</v>
      </c>
      <c r="C36">
        <v>53860278</v>
      </c>
      <c r="D36">
        <v>29557374</v>
      </c>
      <c r="E36">
        <v>1</v>
      </c>
      <c r="F36">
        <v>1</v>
      </c>
      <c r="G36">
        <v>29506949</v>
      </c>
      <c r="H36">
        <v>3</v>
      </c>
      <c r="I36" t="s">
        <v>119</v>
      </c>
      <c r="J36" t="s">
        <v>121</v>
      </c>
      <c r="K36" t="s">
        <v>120</v>
      </c>
      <c r="L36">
        <v>1327</v>
      </c>
      <c r="N36">
        <v>1005</v>
      </c>
      <c r="O36" t="s">
        <v>100</v>
      </c>
      <c r="P36" t="s">
        <v>100</v>
      </c>
      <c r="Q36">
        <v>1</v>
      </c>
      <c r="W36">
        <v>0</v>
      </c>
      <c r="X36">
        <v>1822655734</v>
      </c>
      <c r="Y36">
        <f>AT36</f>
        <v>85</v>
      </c>
      <c r="AA36">
        <v>1120.8399999999999</v>
      </c>
      <c r="AB36">
        <v>0</v>
      </c>
      <c r="AC36">
        <v>0</v>
      </c>
      <c r="AD36">
        <v>0</v>
      </c>
      <c r="AE36">
        <v>138.88999999999999</v>
      </c>
      <c r="AF36">
        <v>0</v>
      </c>
      <c r="AG36">
        <v>0</v>
      </c>
      <c r="AH36">
        <v>0</v>
      </c>
      <c r="AI36">
        <v>8.07</v>
      </c>
      <c r="AJ36">
        <v>1</v>
      </c>
      <c r="AK36">
        <v>1</v>
      </c>
      <c r="AL36">
        <v>1</v>
      </c>
      <c r="AM36">
        <v>0</v>
      </c>
      <c r="AN36">
        <v>0</v>
      </c>
      <c r="AO36">
        <v>0</v>
      </c>
      <c r="AP36">
        <v>1</v>
      </c>
      <c r="AQ36">
        <v>0</v>
      </c>
      <c r="AR36">
        <v>0</v>
      </c>
      <c r="AS36" t="s">
        <v>3</v>
      </c>
      <c r="AT36">
        <v>85</v>
      </c>
      <c r="AU36" t="s">
        <v>3</v>
      </c>
      <c r="AV36">
        <v>0</v>
      </c>
      <c r="AW36">
        <v>1</v>
      </c>
      <c r="AX36">
        <v>-1</v>
      </c>
      <c r="AY36">
        <v>0</v>
      </c>
      <c r="AZ36">
        <v>0</v>
      </c>
      <c r="BA36" t="s">
        <v>3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ROUND(Y36*Source!I47,9)</f>
        <v>34</v>
      </c>
      <c r="CY36">
        <f>AA36</f>
        <v>1120.8399999999999</v>
      </c>
      <c r="CZ36">
        <f>AE36</f>
        <v>138.88999999999999</v>
      </c>
      <c r="DA36">
        <f>AI36</f>
        <v>8.07</v>
      </c>
      <c r="DB36">
        <f>ROUND(ROUND(AT36*CZ36,2),6)</f>
        <v>11805.65</v>
      </c>
      <c r="DC36">
        <f>ROUND(ROUND(AT36*AG36,2),6)</f>
        <v>0</v>
      </c>
      <c r="DD36" t="s">
        <v>3</v>
      </c>
      <c r="DE36" t="s">
        <v>3</v>
      </c>
      <c r="DF36">
        <f>ROUND(ROUND(AE36*AI36,2)*CX36,2)</f>
        <v>38108.559999999998</v>
      </c>
      <c r="DG36">
        <f t="shared" si="9"/>
        <v>0</v>
      </c>
      <c r="DH36">
        <f t="shared" si="10"/>
        <v>0</v>
      </c>
      <c r="DI36">
        <f t="shared" si="4"/>
        <v>0</v>
      </c>
      <c r="DJ36">
        <f>DF36</f>
        <v>38108.559999999998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ROW(Source!A47)</f>
        <v>47</v>
      </c>
      <c r="B37">
        <v>53860087</v>
      </c>
      <c r="C37">
        <v>53860278</v>
      </c>
      <c r="D37">
        <v>29555544</v>
      </c>
      <c r="E37">
        <v>1</v>
      </c>
      <c r="F37">
        <v>1</v>
      </c>
      <c r="G37">
        <v>29506949</v>
      </c>
      <c r="H37">
        <v>3</v>
      </c>
      <c r="I37" t="s">
        <v>677</v>
      </c>
      <c r="J37" t="s">
        <v>678</v>
      </c>
      <c r="K37" t="s">
        <v>679</v>
      </c>
      <c r="L37">
        <v>1348</v>
      </c>
      <c r="N37">
        <v>1009</v>
      </c>
      <c r="O37" t="s">
        <v>75</v>
      </c>
      <c r="P37" t="s">
        <v>75</v>
      </c>
      <c r="Q37">
        <v>1000</v>
      </c>
      <c r="W37">
        <v>0</v>
      </c>
      <c r="X37">
        <v>-733350581</v>
      </c>
      <c r="Y37">
        <f>AT37</f>
        <v>2.8500000000000001E-3</v>
      </c>
      <c r="AA37">
        <v>121384.22</v>
      </c>
      <c r="AB37">
        <v>0</v>
      </c>
      <c r="AC37">
        <v>0</v>
      </c>
      <c r="AD37">
        <v>0</v>
      </c>
      <c r="AE37">
        <v>17876.91</v>
      </c>
      <c r="AF37">
        <v>0</v>
      </c>
      <c r="AG37">
        <v>0</v>
      </c>
      <c r="AH37">
        <v>0</v>
      </c>
      <c r="AI37">
        <v>6.79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2.8500000000000001E-3</v>
      </c>
      <c r="AU37" t="s">
        <v>3</v>
      </c>
      <c r="AV37">
        <v>0</v>
      </c>
      <c r="AW37">
        <v>2</v>
      </c>
      <c r="AX37">
        <v>53861085</v>
      </c>
      <c r="AY37">
        <v>1</v>
      </c>
      <c r="AZ37">
        <v>0</v>
      </c>
      <c r="BA37">
        <v>64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ROUND(Y37*Source!I47,9)</f>
        <v>1.14E-3</v>
      </c>
      <c r="CY37">
        <f>AA37</f>
        <v>121384.22</v>
      </c>
      <c r="CZ37">
        <f>AE37</f>
        <v>17876.91</v>
      </c>
      <c r="DA37">
        <f>AI37</f>
        <v>6.79</v>
      </c>
      <c r="DB37">
        <f>ROUND(ROUND(AT37*CZ37,2),6)</f>
        <v>50.95</v>
      </c>
      <c r="DC37">
        <f>ROUND(ROUND(AT37*AG37,2),6)</f>
        <v>0</v>
      </c>
      <c r="DD37" t="s">
        <v>3</v>
      </c>
      <c r="DE37" t="s">
        <v>3</v>
      </c>
      <c r="DF37">
        <f>ROUND(ROUND(AE37*AI37,2)*CX37,2)</f>
        <v>138.38</v>
      </c>
      <c r="DG37">
        <f t="shared" si="9"/>
        <v>0</v>
      </c>
      <c r="DH37">
        <f t="shared" si="10"/>
        <v>0</v>
      </c>
      <c r="DI37">
        <f t="shared" si="4"/>
        <v>0</v>
      </c>
      <c r="DJ37">
        <f>DF37</f>
        <v>138.38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ROW(Source!A47)</f>
        <v>47</v>
      </c>
      <c r="B38">
        <v>53860087</v>
      </c>
      <c r="C38">
        <v>53860278</v>
      </c>
      <c r="D38">
        <v>29556250</v>
      </c>
      <c r="E38">
        <v>1</v>
      </c>
      <c r="F38">
        <v>1</v>
      </c>
      <c r="G38">
        <v>29506949</v>
      </c>
      <c r="H38">
        <v>3</v>
      </c>
      <c r="I38" t="s">
        <v>114</v>
      </c>
      <c r="J38" t="s">
        <v>117</v>
      </c>
      <c r="K38" t="s">
        <v>115</v>
      </c>
      <c r="L38">
        <v>1391</v>
      </c>
      <c r="N38">
        <v>1013</v>
      </c>
      <c r="O38" t="s">
        <v>116</v>
      </c>
      <c r="P38" t="s">
        <v>116</v>
      </c>
      <c r="Q38">
        <v>1</v>
      </c>
      <c r="W38">
        <v>0</v>
      </c>
      <c r="X38">
        <v>-1842883797</v>
      </c>
      <c r="Y38">
        <f>AT38</f>
        <v>100</v>
      </c>
      <c r="AA38">
        <v>101.29</v>
      </c>
      <c r="AB38">
        <v>0</v>
      </c>
      <c r="AC38">
        <v>0</v>
      </c>
      <c r="AD38">
        <v>0</v>
      </c>
      <c r="AE38">
        <v>21.28</v>
      </c>
      <c r="AF38">
        <v>0</v>
      </c>
      <c r="AG38">
        <v>0</v>
      </c>
      <c r="AH38">
        <v>0</v>
      </c>
      <c r="AI38">
        <v>4.76</v>
      </c>
      <c r="AJ38">
        <v>1</v>
      </c>
      <c r="AK38">
        <v>1</v>
      </c>
      <c r="AL38">
        <v>1</v>
      </c>
      <c r="AM38">
        <v>0</v>
      </c>
      <c r="AN38">
        <v>0</v>
      </c>
      <c r="AO38">
        <v>0</v>
      </c>
      <c r="AP38">
        <v>1</v>
      </c>
      <c r="AQ38">
        <v>0</v>
      </c>
      <c r="AR38">
        <v>0</v>
      </c>
      <c r="AS38" t="s">
        <v>3</v>
      </c>
      <c r="AT38">
        <v>100</v>
      </c>
      <c r="AU38" t="s">
        <v>3</v>
      </c>
      <c r="AV38">
        <v>0</v>
      </c>
      <c r="AW38">
        <v>1</v>
      </c>
      <c r="AX38">
        <v>-1</v>
      </c>
      <c r="AY38">
        <v>0</v>
      </c>
      <c r="AZ38">
        <v>0</v>
      </c>
      <c r="BA38" t="s">
        <v>3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ROUND(Y38*Source!I47,9)</f>
        <v>40</v>
      </c>
      <c r="CY38">
        <f>AA38</f>
        <v>101.29</v>
      </c>
      <c r="CZ38">
        <f>AE38</f>
        <v>21.28</v>
      </c>
      <c r="DA38">
        <f>AI38</f>
        <v>4.76</v>
      </c>
      <c r="DB38">
        <f>ROUND(ROUND(AT38*CZ38,2),6)</f>
        <v>2128</v>
      </c>
      <c r="DC38">
        <f>ROUND(ROUND(AT38*AG38,2),6)</f>
        <v>0</v>
      </c>
      <c r="DD38" t="s">
        <v>3</v>
      </c>
      <c r="DE38" t="s">
        <v>3</v>
      </c>
      <c r="DF38">
        <f>ROUND(ROUND(AE38*AI38,2)*CX38,2)</f>
        <v>4051.6</v>
      </c>
      <c r="DG38">
        <f t="shared" si="9"/>
        <v>0</v>
      </c>
      <c r="DH38">
        <f t="shared" si="10"/>
        <v>0</v>
      </c>
      <c r="DI38">
        <f t="shared" si="4"/>
        <v>0</v>
      </c>
      <c r="DJ38">
        <f>DF38</f>
        <v>4051.6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ROW(Source!A47)</f>
        <v>47</v>
      </c>
      <c r="B39">
        <v>53860087</v>
      </c>
      <c r="C39">
        <v>53860278</v>
      </c>
      <c r="D39">
        <v>29529088</v>
      </c>
      <c r="E39">
        <v>29506949</v>
      </c>
      <c r="F39">
        <v>1</v>
      </c>
      <c r="G39">
        <v>29506949</v>
      </c>
      <c r="H39">
        <v>3</v>
      </c>
      <c r="I39" t="s">
        <v>680</v>
      </c>
      <c r="J39" t="s">
        <v>3</v>
      </c>
      <c r="K39" t="s">
        <v>681</v>
      </c>
      <c r="L39">
        <v>1344</v>
      </c>
      <c r="N39">
        <v>1008</v>
      </c>
      <c r="O39" t="s">
        <v>643</v>
      </c>
      <c r="P39" t="s">
        <v>643</v>
      </c>
      <c r="Q39">
        <v>1</v>
      </c>
      <c r="W39">
        <v>0</v>
      </c>
      <c r="X39">
        <v>-94250534</v>
      </c>
      <c r="Y39">
        <f>AT39</f>
        <v>0.87</v>
      </c>
      <c r="AA39">
        <v>1</v>
      </c>
      <c r="AB39">
        <v>0</v>
      </c>
      <c r="AC39">
        <v>0</v>
      </c>
      <c r="AD39">
        <v>0</v>
      </c>
      <c r="AE39">
        <v>1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0.87</v>
      </c>
      <c r="AU39" t="s">
        <v>3</v>
      </c>
      <c r="AV39">
        <v>0</v>
      </c>
      <c r="AW39">
        <v>1</v>
      </c>
      <c r="AX39">
        <v>-1</v>
      </c>
      <c r="AY39">
        <v>0</v>
      </c>
      <c r="AZ39">
        <v>0</v>
      </c>
      <c r="BA39" t="s">
        <v>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ROUND(Y39*Source!I47,9)</f>
        <v>0.34799999999999998</v>
      </c>
      <c r="CY39">
        <f>AA39</f>
        <v>1</v>
      </c>
      <c r="CZ39">
        <f>AE39</f>
        <v>1</v>
      </c>
      <c r="DA39">
        <f>AI39</f>
        <v>1</v>
      </c>
      <c r="DB39">
        <f>ROUND(ROUND(AT39*CZ39,2),6)</f>
        <v>0.87</v>
      </c>
      <c r="DC39">
        <f>ROUND(ROUND(AT39*AG39,2),6)</f>
        <v>0</v>
      </c>
      <c r="DD39" t="s">
        <v>3</v>
      </c>
      <c r="DE39" t="s">
        <v>3</v>
      </c>
      <c r="DF39">
        <f t="shared" ref="DF39:DF45" si="11">ROUND(ROUND(AE39,2)*CX39,2)</f>
        <v>0.35</v>
      </c>
      <c r="DG39">
        <f t="shared" si="9"/>
        <v>0</v>
      </c>
      <c r="DH39">
        <f t="shared" si="10"/>
        <v>0</v>
      </c>
      <c r="DI39">
        <f t="shared" si="4"/>
        <v>0</v>
      </c>
      <c r="DJ39">
        <f>DF39</f>
        <v>0.35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ROW(Source!A50)</f>
        <v>50</v>
      </c>
      <c r="B40">
        <v>53860087</v>
      </c>
      <c r="C40">
        <v>53860293</v>
      </c>
      <c r="D40">
        <v>29506954</v>
      </c>
      <c r="E40">
        <v>29506949</v>
      </c>
      <c r="F40">
        <v>1</v>
      </c>
      <c r="G40">
        <v>29506949</v>
      </c>
      <c r="H40">
        <v>1</v>
      </c>
      <c r="I40" t="s">
        <v>638</v>
      </c>
      <c r="J40" t="s">
        <v>3</v>
      </c>
      <c r="K40" t="s">
        <v>639</v>
      </c>
      <c r="L40">
        <v>1191</v>
      </c>
      <c r="N40">
        <v>1013</v>
      </c>
      <c r="O40" t="s">
        <v>640</v>
      </c>
      <c r="P40" t="s">
        <v>640</v>
      </c>
      <c r="Q40">
        <v>1</v>
      </c>
      <c r="W40">
        <v>0</v>
      </c>
      <c r="X40">
        <v>476480486</v>
      </c>
      <c r="Y40">
        <f>(AT40*1.15)</f>
        <v>124.1195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107.93</v>
      </c>
      <c r="AU40" t="s">
        <v>52</v>
      </c>
      <c r="AV40">
        <v>1</v>
      </c>
      <c r="AW40">
        <v>2</v>
      </c>
      <c r="AX40">
        <v>53861088</v>
      </c>
      <c r="AY40">
        <v>1</v>
      </c>
      <c r="AZ40">
        <v>0</v>
      </c>
      <c r="BA40">
        <v>67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U40">
        <f>ROUND(AT40*Source!I50*AH40*AL40,2)</f>
        <v>0</v>
      </c>
      <c r="CV40">
        <f>ROUND(Y40*Source!I50,9)</f>
        <v>583.36165000000005</v>
      </c>
      <c r="CW40">
        <v>0</v>
      </c>
      <c r="CX40">
        <f>ROUND(Y40*Source!I50,9)</f>
        <v>583.36165000000005</v>
      </c>
      <c r="CY40">
        <f>AD40</f>
        <v>0</v>
      </c>
      <c r="CZ40">
        <f>AH40</f>
        <v>0</v>
      </c>
      <c r="DA40">
        <f>AL40</f>
        <v>1</v>
      </c>
      <c r="DB40">
        <f>ROUND((ROUND(AT40*CZ40,2)*1.15),6)</f>
        <v>0</v>
      </c>
      <c r="DC40">
        <f>ROUND((ROUND(AT40*AG40,2)*1.15),6)</f>
        <v>0</v>
      </c>
      <c r="DD40" t="s">
        <v>3</v>
      </c>
      <c r="DE40" t="s">
        <v>3</v>
      </c>
      <c r="DF40">
        <f t="shared" si="11"/>
        <v>0</v>
      </c>
      <c r="DG40">
        <f t="shared" si="9"/>
        <v>0</v>
      </c>
      <c r="DH40">
        <f t="shared" si="10"/>
        <v>0</v>
      </c>
      <c r="DI40">
        <f t="shared" si="4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ROW(Source!A50)</f>
        <v>50</v>
      </c>
      <c r="B41">
        <v>53860087</v>
      </c>
      <c r="C41">
        <v>53860293</v>
      </c>
      <c r="D41">
        <v>29580491</v>
      </c>
      <c r="E41">
        <v>1</v>
      </c>
      <c r="F41">
        <v>1</v>
      </c>
      <c r="G41">
        <v>29506949</v>
      </c>
      <c r="H41">
        <v>2</v>
      </c>
      <c r="I41" t="s">
        <v>650</v>
      </c>
      <c r="J41" t="s">
        <v>651</v>
      </c>
      <c r="K41" t="s">
        <v>652</v>
      </c>
      <c r="L41">
        <v>1368</v>
      </c>
      <c r="N41">
        <v>1011</v>
      </c>
      <c r="O41" t="s">
        <v>647</v>
      </c>
      <c r="P41" t="s">
        <v>647</v>
      </c>
      <c r="Q41">
        <v>1</v>
      </c>
      <c r="W41">
        <v>0</v>
      </c>
      <c r="X41">
        <v>-1440889904</v>
      </c>
      <c r="Y41">
        <f>(AT41*1.25)</f>
        <v>0.23749999999999999</v>
      </c>
      <c r="AA41">
        <v>0</v>
      </c>
      <c r="AB41">
        <v>1051.9000000000001</v>
      </c>
      <c r="AC41">
        <v>397.72</v>
      </c>
      <c r="AD41">
        <v>0</v>
      </c>
      <c r="AE41">
        <v>0</v>
      </c>
      <c r="AF41">
        <v>83.1</v>
      </c>
      <c r="AG41">
        <v>12.62</v>
      </c>
      <c r="AH41">
        <v>0</v>
      </c>
      <c r="AI41">
        <v>1</v>
      </c>
      <c r="AJ41">
        <v>12.09</v>
      </c>
      <c r="AK41">
        <v>30.1</v>
      </c>
      <c r="AL41">
        <v>1</v>
      </c>
      <c r="AM41">
        <v>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0.19</v>
      </c>
      <c r="AU41" t="s">
        <v>51</v>
      </c>
      <c r="AV41">
        <v>0</v>
      </c>
      <c r="AW41">
        <v>2</v>
      </c>
      <c r="AX41">
        <v>53861089</v>
      </c>
      <c r="AY41">
        <v>1</v>
      </c>
      <c r="AZ41">
        <v>0</v>
      </c>
      <c r="BA41">
        <v>68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f>ROUND(Y41*Source!I50,9)</f>
        <v>1.11625</v>
      </c>
      <c r="CX41">
        <f>ROUND(Y41*Source!I50,9)</f>
        <v>1.11625</v>
      </c>
      <c r="CY41">
        <f>AB41</f>
        <v>1051.9000000000001</v>
      </c>
      <c r="CZ41">
        <f>AF41</f>
        <v>83.1</v>
      </c>
      <c r="DA41">
        <f>AJ41</f>
        <v>12.09</v>
      </c>
      <c r="DB41">
        <f>ROUND((ROUND(AT41*CZ41,2)*1.25),6)</f>
        <v>19.737500000000001</v>
      </c>
      <c r="DC41">
        <f>ROUND((ROUND(AT41*AG41,2)*1.25),6)</f>
        <v>3</v>
      </c>
      <c r="DD41" t="s">
        <v>3</v>
      </c>
      <c r="DE41" t="s">
        <v>3</v>
      </c>
      <c r="DF41">
        <f t="shared" si="11"/>
        <v>0</v>
      </c>
      <c r="DG41">
        <f>ROUND(ROUND(AF41*AJ41,2)*CX41,2)</f>
        <v>1121.47</v>
      </c>
      <c r="DH41">
        <f>ROUND(ROUND(AG41*AK41,2)*CX41,2)</f>
        <v>424.02</v>
      </c>
      <c r="DI41">
        <f t="shared" si="4"/>
        <v>0</v>
      </c>
      <c r="DJ41">
        <f>DG41</f>
        <v>1121.47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ROW(Source!A50)</f>
        <v>50</v>
      </c>
      <c r="B42">
        <v>53860087</v>
      </c>
      <c r="C42">
        <v>53860293</v>
      </c>
      <c r="D42">
        <v>29580614</v>
      </c>
      <c r="E42">
        <v>1</v>
      </c>
      <c r="F42">
        <v>1</v>
      </c>
      <c r="G42">
        <v>29506949</v>
      </c>
      <c r="H42">
        <v>2</v>
      </c>
      <c r="I42" t="s">
        <v>682</v>
      </c>
      <c r="J42" t="s">
        <v>683</v>
      </c>
      <c r="K42" t="s">
        <v>684</v>
      </c>
      <c r="L42">
        <v>1368</v>
      </c>
      <c r="N42">
        <v>1011</v>
      </c>
      <c r="O42" t="s">
        <v>647</v>
      </c>
      <c r="P42" t="s">
        <v>647</v>
      </c>
      <c r="Q42">
        <v>1</v>
      </c>
      <c r="W42">
        <v>0</v>
      </c>
      <c r="X42">
        <v>-798320174</v>
      </c>
      <c r="Y42">
        <f>(AT42*1.25)</f>
        <v>1.625</v>
      </c>
      <c r="AA42">
        <v>0</v>
      </c>
      <c r="AB42">
        <v>9.86</v>
      </c>
      <c r="AC42">
        <v>0</v>
      </c>
      <c r="AD42">
        <v>0</v>
      </c>
      <c r="AE42">
        <v>0</v>
      </c>
      <c r="AF42">
        <v>1.1100000000000001</v>
      </c>
      <c r="AG42">
        <v>0</v>
      </c>
      <c r="AH42">
        <v>0</v>
      </c>
      <c r="AI42">
        <v>1</v>
      </c>
      <c r="AJ42">
        <v>8.48</v>
      </c>
      <c r="AK42">
        <v>30.1</v>
      </c>
      <c r="AL42">
        <v>1</v>
      </c>
      <c r="AM42">
        <v>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1.3</v>
      </c>
      <c r="AU42" t="s">
        <v>51</v>
      </c>
      <c r="AV42">
        <v>0</v>
      </c>
      <c r="AW42">
        <v>2</v>
      </c>
      <c r="AX42">
        <v>53861091</v>
      </c>
      <c r="AY42">
        <v>1</v>
      </c>
      <c r="AZ42">
        <v>0</v>
      </c>
      <c r="BA42">
        <v>69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f>ROUND(Y42*Source!I50,9)</f>
        <v>7.6375000000000002</v>
      </c>
      <c r="CX42">
        <f>ROUND(Y42*Source!I50,9)</f>
        <v>7.6375000000000002</v>
      </c>
      <c r="CY42">
        <f>AB42</f>
        <v>9.86</v>
      </c>
      <c r="CZ42">
        <f>AF42</f>
        <v>1.1100000000000001</v>
      </c>
      <c r="DA42">
        <f>AJ42</f>
        <v>8.48</v>
      </c>
      <c r="DB42">
        <f>ROUND((ROUND(AT42*CZ42,2)*1.25),6)</f>
        <v>1.8</v>
      </c>
      <c r="DC42">
        <f>ROUND((ROUND(AT42*AG42,2)*1.25),6)</f>
        <v>0</v>
      </c>
      <c r="DD42" t="s">
        <v>3</v>
      </c>
      <c r="DE42" t="s">
        <v>3</v>
      </c>
      <c r="DF42">
        <f t="shared" si="11"/>
        <v>0</v>
      </c>
      <c r="DG42">
        <f>ROUND(ROUND(AF42*AJ42,2)*CX42,2)</f>
        <v>71.87</v>
      </c>
      <c r="DH42">
        <f>ROUND(ROUND(AG42*AK42,2)*CX42,2)</f>
        <v>0</v>
      </c>
      <c r="DI42">
        <f t="shared" si="4"/>
        <v>0</v>
      </c>
      <c r="DJ42">
        <f>DG42</f>
        <v>71.87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ROW(Source!A50)</f>
        <v>50</v>
      </c>
      <c r="B43">
        <v>53860087</v>
      </c>
      <c r="C43">
        <v>53860293</v>
      </c>
      <c r="D43">
        <v>29580549</v>
      </c>
      <c r="E43">
        <v>1</v>
      </c>
      <c r="F43">
        <v>1</v>
      </c>
      <c r="G43">
        <v>29506949</v>
      </c>
      <c r="H43">
        <v>2</v>
      </c>
      <c r="I43" t="s">
        <v>685</v>
      </c>
      <c r="J43" t="s">
        <v>686</v>
      </c>
      <c r="K43" t="s">
        <v>687</v>
      </c>
      <c r="L43">
        <v>1368</v>
      </c>
      <c r="N43">
        <v>1011</v>
      </c>
      <c r="O43" t="s">
        <v>647</v>
      </c>
      <c r="P43" t="s">
        <v>647</v>
      </c>
      <c r="Q43">
        <v>1</v>
      </c>
      <c r="W43">
        <v>0</v>
      </c>
      <c r="X43">
        <v>517245713</v>
      </c>
      <c r="Y43">
        <f>(AT43*1.25)</f>
        <v>0.4</v>
      </c>
      <c r="AA43">
        <v>0</v>
      </c>
      <c r="AB43">
        <v>3.47</v>
      </c>
      <c r="AC43">
        <v>0</v>
      </c>
      <c r="AD43">
        <v>0</v>
      </c>
      <c r="AE43">
        <v>0</v>
      </c>
      <c r="AF43">
        <v>0.39</v>
      </c>
      <c r="AG43">
        <v>0</v>
      </c>
      <c r="AH43">
        <v>0</v>
      </c>
      <c r="AI43">
        <v>1</v>
      </c>
      <c r="AJ43">
        <v>8.51</v>
      </c>
      <c r="AK43">
        <v>30.1</v>
      </c>
      <c r="AL43">
        <v>1</v>
      </c>
      <c r="AM43">
        <v>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0.32</v>
      </c>
      <c r="AU43" t="s">
        <v>51</v>
      </c>
      <c r="AV43">
        <v>0</v>
      </c>
      <c r="AW43">
        <v>2</v>
      </c>
      <c r="AX43">
        <v>53861092</v>
      </c>
      <c r="AY43">
        <v>1</v>
      </c>
      <c r="AZ43">
        <v>0</v>
      </c>
      <c r="BA43">
        <v>70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f>ROUND(Y43*Source!I50,9)</f>
        <v>1.88</v>
      </c>
      <c r="CX43">
        <f>ROUND(Y43*Source!I50,9)</f>
        <v>1.88</v>
      </c>
      <c r="CY43">
        <f>AB43</f>
        <v>3.47</v>
      </c>
      <c r="CZ43">
        <f>AF43</f>
        <v>0.39</v>
      </c>
      <c r="DA43">
        <f>AJ43</f>
        <v>8.51</v>
      </c>
      <c r="DB43">
        <f>ROUND((ROUND(AT43*CZ43,2)*1.25),6)</f>
        <v>0.15</v>
      </c>
      <c r="DC43">
        <f>ROUND((ROUND(AT43*AG43,2)*1.25),6)</f>
        <v>0</v>
      </c>
      <c r="DD43" t="s">
        <v>3</v>
      </c>
      <c r="DE43" t="s">
        <v>3</v>
      </c>
      <c r="DF43">
        <f t="shared" si="11"/>
        <v>0</v>
      </c>
      <c r="DG43">
        <f>ROUND(ROUND(AF43*AJ43,2)*CX43,2)</f>
        <v>6.24</v>
      </c>
      <c r="DH43">
        <f>ROUND(ROUND(AG43*AK43,2)*CX43,2)</f>
        <v>0</v>
      </c>
      <c r="DI43">
        <f t="shared" si="4"/>
        <v>0</v>
      </c>
      <c r="DJ43">
        <f>DG43</f>
        <v>6.24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ROW(Source!A50)</f>
        <v>50</v>
      </c>
      <c r="B44">
        <v>53860087</v>
      </c>
      <c r="C44">
        <v>53860293</v>
      </c>
      <c r="D44">
        <v>29580571</v>
      </c>
      <c r="E44">
        <v>1</v>
      </c>
      <c r="F44">
        <v>1</v>
      </c>
      <c r="G44">
        <v>29506949</v>
      </c>
      <c r="H44">
        <v>2</v>
      </c>
      <c r="I44" t="s">
        <v>644</v>
      </c>
      <c r="J44" t="s">
        <v>645</v>
      </c>
      <c r="K44" t="s">
        <v>646</v>
      </c>
      <c r="L44">
        <v>1368</v>
      </c>
      <c r="N44">
        <v>1011</v>
      </c>
      <c r="O44" t="s">
        <v>647</v>
      </c>
      <c r="P44" t="s">
        <v>647</v>
      </c>
      <c r="Q44">
        <v>1</v>
      </c>
      <c r="W44">
        <v>0</v>
      </c>
      <c r="X44">
        <v>-2099052417</v>
      </c>
      <c r="Y44">
        <f>(AT44*1.25)</f>
        <v>2.75</v>
      </c>
      <c r="AA44">
        <v>0</v>
      </c>
      <c r="AB44">
        <v>4.21</v>
      </c>
      <c r="AC44">
        <v>0</v>
      </c>
      <c r="AD44">
        <v>0</v>
      </c>
      <c r="AE44">
        <v>0</v>
      </c>
      <c r="AF44">
        <v>0.47</v>
      </c>
      <c r="AG44">
        <v>0</v>
      </c>
      <c r="AH44">
        <v>0</v>
      </c>
      <c r="AI44">
        <v>1</v>
      </c>
      <c r="AJ44">
        <v>8.5500000000000007</v>
      </c>
      <c r="AK44">
        <v>30.1</v>
      </c>
      <c r="AL44">
        <v>1</v>
      </c>
      <c r="AM44">
        <v>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2.2000000000000002</v>
      </c>
      <c r="AU44" t="s">
        <v>51</v>
      </c>
      <c r="AV44">
        <v>0</v>
      </c>
      <c r="AW44">
        <v>2</v>
      </c>
      <c r="AX44">
        <v>53861093</v>
      </c>
      <c r="AY44">
        <v>1</v>
      </c>
      <c r="AZ44">
        <v>0</v>
      </c>
      <c r="BA44">
        <v>71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ROUND(Y44*Source!I50,9)</f>
        <v>12.925000000000001</v>
      </c>
      <c r="CX44">
        <f>ROUND(Y44*Source!I50,9)</f>
        <v>12.925000000000001</v>
      </c>
      <c r="CY44">
        <f>AB44</f>
        <v>4.21</v>
      </c>
      <c r="CZ44">
        <f>AF44</f>
        <v>0.47</v>
      </c>
      <c r="DA44">
        <f>AJ44</f>
        <v>8.5500000000000007</v>
      </c>
      <c r="DB44">
        <f>ROUND((ROUND(AT44*CZ44,2)*1.25),6)</f>
        <v>1.2875000000000001</v>
      </c>
      <c r="DC44">
        <f>ROUND((ROUND(AT44*AG44,2)*1.25),6)</f>
        <v>0</v>
      </c>
      <c r="DD44" t="s">
        <v>3</v>
      </c>
      <c r="DE44" t="s">
        <v>3</v>
      </c>
      <c r="DF44">
        <f t="shared" si="11"/>
        <v>0</v>
      </c>
      <c r="DG44">
        <f>ROUND(ROUND(AF44*AJ44,2)*CX44,2)</f>
        <v>51.96</v>
      </c>
      <c r="DH44">
        <f>ROUND(ROUND(AG44*AK44,2)*CX44,2)</f>
        <v>0</v>
      </c>
      <c r="DI44">
        <f t="shared" si="4"/>
        <v>0</v>
      </c>
      <c r="DJ44">
        <f>DG44</f>
        <v>51.96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ROW(Source!A50)</f>
        <v>50</v>
      </c>
      <c r="B45">
        <v>53860087</v>
      </c>
      <c r="C45">
        <v>53860293</v>
      </c>
      <c r="D45">
        <v>29579738</v>
      </c>
      <c r="E45">
        <v>1</v>
      </c>
      <c r="F45">
        <v>1</v>
      </c>
      <c r="G45">
        <v>29506949</v>
      </c>
      <c r="H45">
        <v>2</v>
      </c>
      <c r="I45" t="s">
        <v>665</v>
      </c>
      <c r="J45" t="s">
        <v>666</v>
      </c>
      <c r="K45" t="s">
        <v>667</v>
      </c>
      <c r="L45">
        <v>1368</v>
      </c>
      <c r="N45">
        <v>1011</v>
      </c>
      <c r="O45" t="s">
        <v>647</v>
      </c>
      <c r="P45" t="s">
        <v>647</v>
      </c>
      <c r="Q45">
        <v>1</v>
      </c>
      <c r="W45">
        <v>0</v>
      </c>
      <c r="X45">
        <v>1668154095</v>
      </c>
      <c r="Y45">
        <f>(AT45*1.25)</f>
        <v>0.23749999999999999</v>
      </c>
      <c r="AA45">
        <v>0</v>
      </c>
      <c r="AB45">
        <v>2050.37</v>
      </c>
      <c r="AC45">
        <v>533.54</v>
      </c>
      <c r="AD45">
        <v>0</v>
      </c>
      <c r="AE45">
        <v>0</v>
      </c>
      <c r="AF45">
        <v>179.17</v>
      </c>
      <c r="AG45">
        <v>16.93</v>
      </c>
      <c r="AH45">
        <v>0</v>
      </c>
      <c r="AI45">
        <v>1</v>
      </c>
      <c r="AJ45">
        <v>10.93</v>
      </c>
      <c r="AK45">
        <v>30.1</v>
      </c>
      <c r="AL45">
        <v>1</v>
      </c>
      <c r="AM45">
        <v>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0.19</v>
      </c>
      <c r="AU45" t="s">
        <v>51</v>
      </c>
      <c r="AV45">
        <v>0</v>
      </c>
      <c r="AW45">
        <v>2</v>
      </c>
      <c r="AX45">
        <v>53861090</v>
      </c>
      <c r="AY45">
        <v>1</v>
      </c>
      <c r="AZ45">
        <v>0</v>
      </c>
      <c r="BA45">
        <v>72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ROUND(Y45*Source!I50,9)</f>
        <v>1.11625</v>
      </c>
      <c r="CX45">
        <f>ROUND(Y45*Source!I50,9)</f>
        <v>1.11625</v>
      </c>
      <c r="CY45">
        <f>AB45</f>
        <v>2050.37</v>
      </c>
      <c r="CZ45">
        <f>AF45</f>
        <v>179.17</v>
      </c>
      <c r="DA45">
        <f>AJ45</f>
        <v>10.93</v>
      </c>
      <c r="DB45">
        <f>ROUND((ROUND(AT45*CZ45,2)*1.25),6)</f>
        <v>42.55</v>
      </c>
      <c r="DC45">
        <f>ROUND((ROUND(AT45*AG45,2)*1.25),6)</f>
        <v>4.0250000000000004</v>
      </c>
      <c r="DD45" t="s">
        <v>3</v>
      </c>
      <c r="DE45" t="s">
        <v>3</v>
      </c>
      <c r="DF45">
        <f t="shared" si="11"/>
        <v>0</v>
      </c>
      <c r="DG45">
        <f>ROUND(ROUND(AF45*AJ45,2)*CX45,2)</f>
        <v>2185.9899999999998</v>
      </c>
      <c r="DH45">
        <f>ROUND(ROUND(AG45*AK45,2)*CX45,2)</f>
        <v>568.83000000000004</v>
      </c>
      <c r="DI45">
        <f t="shared" si="4"/>
        <v>0</v>
      </c>
      <c r="DJ45">
        <f>DG45</f>
        <v>2185.9899999999998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ROW(Source!A50)</f>
        <v>50</v>
      </c>
      <c r="B46">
        <v>53860087</v>
      </c>
      <c r="C46">
        <v>53860293</v>
      </c>
      <c r="D46">
        <v>29558471</v>
      </c>
      <c r="E46">
        <v>1</v>
      </c>
      <c r="F46">
        <v>1</v>
      </c>
      <c r="G46">
        <v>29506949</v>
      </c>
      <c r="H46">
        <v>3</v>
      </c>
      <c r="I46" t="s">
        <v>688</v>
      </c>
      <c r="J46" t="s">
        <v>689</v>
      </c>
      <c r="K46" t="s">
        <v>690</v>
      </c>
      <c r="L46">
        <v>1355</v>
      </c>
      <c r="N46">
        <v>1010</v>
      </c>
      <c r="O46" t="s">
        <v>129</v>
      </c>
      <c r="P46" t="s">
        <v>129</v>
      </c>
      <c r="Q46">
        <v>100</v>
      </c>
      <c r="W46">
        <v>0</v>
      </c>
      <c r="X46">
        <v>1725470742</v>
      </c>
      <c r="Y46">
        <f t="shared" ref="Y46:Y62" si="12">AT46</f>
        <v>0.81</v>
      </c>
      <c r="AA46">
        <v>447.17</v>
      </c>
      <c r="AB46">
        <v>0</v>
      </c>
      <c r="AC46">
        <v>0</v>
      </c>
      <c r="AD46">
        <v>0</v>
      </c>
      <c r="AE46">
        <v>94.94</v>
      </c>
      <c r="AF46">
        <v>0</v>
      </c>
      <c r="AG46">
        <v>0</v>
      </c>
      <c r="AH46">
        <v>0</v>
      </c>
      <c r="AI46">
        <v>4.71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0.81</v>
      </c>
      <c r="AU46" t="s">
        <v>3</v>
      </c>
      <c r="AV46">
        <v>0</v>
      </c>
      <c r="AW46">
        <v>2</v>
      </c>
      <c r="AX46">
        <v>53861094</v>
      </c>
      <c r="AY46">
        <v>1</v>
      </c>
      <c r="AZ46">
        <v>0</v>
      </c>
      <c r="BA46">
        <v>73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ROUND(Y46*Source!I50,9)</f>
        <v>3.8069999999999999</v>
      </c>
      <c r="CY46">
        <f t="shared" ref="CY46:CY62" si="13">AA46</f>
        <v>447.17</v>
      </c>
      <c r="CZ46">
        <f t="shared" ref="CZ46:CZ62" si="14">AE46</f>
        <v>94.94</v>
      </c>
      <c r="DA46">
        <f t="shared" ref="DA46:DA62" si="15">AI46</f>
        <v>4.71</v>
      </c>
      <c r="DB46">
        <f t="shared" ref="DB46:DB62" si="16">ROUND(ROUND(AT46*CZ46,2),6)</f>
        <v>76.900000000000006</v>
      </c>
      <c r="DC46">
        <f t="shared" ref="DC46:DC62" si="17">ROUND(ROUND(AT46*AG46,2),6)</f>
        <v>0</v>
      </c>
      <c r="DD46" t="s">
        <v>3</v>
      </c>
      <c r="DE46" t="s">
        <v>3</v>
      </c>
      <c r="DF46">
        <f t="shared" ref="DF46:DF62" si="18">ROUND(ROUND(AE46*AI46,2)*CX46,2)</f>
        <v>1702.38</v>
      </c>
      <c r="DG46">
        <f t="shared" ref="DG46:DG67" si="19">ROUND(ROUND(AF46,2)*CX46,2)</f>
        <v>0</v>
      </c>
      <c r="DH46">
        <f t="shared" ref="DH46:DH67" si="20">ROUND(ROUND(AG46,2)*CX46,2)</f>
        <v>0</v>
      </c>
      <c r="DI46">
        <f t="shared" si="4"/>
        <v>0</v>
      </c>
      <c r="DJ46">
        <f t="shared" ref="DJ46:DJ62" si="21">DF46</f>
        <v>1702.38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ROW(Source!A50)</f>
        <v>50</v>
      </c>
      <c r="B47">
        <v>53860087</v>
      </c>
      <c r="C47">
        <v>53860293</v>
      </c>
      <c r="D47">
        <v>29558629</v>
      </c>
      <c r="E47">
        <v>1</v>
      </c>
      <c r="F47">
        <v>1</v>
      </c>
      <c r="G47">
        <v>29506949</v>
      </c>
      <c r="H47">
        <v>3</v>
      </c>
      <c r="I47" t="s">
        <v>602</v>
      </c>
      <c r="J47" t="s">
        <v>604</v>
      </c>
      <c r="K47" t="s">
        <v>603</v>
      </c>
      <c r="L47">
        <v>1296</v>
      </c>
      <c r="N47">
        <v>1002</v>
      </c>
      <c r="O47" t="s">
        <v>154</v>
      </c>
      <c r="P47" t="s">
        <v>154</v>
      </c>
      <c r="Q47">
        <v>1</v>
      </c>
      <c r="W47">
        <v>0</v>
      </c>
      <c r="X47">
        <v>-1353905028</v>
      </c>
      <c r="Y47">
        <f t="shared" si="12"/>
        <v>10</v>
      </c>
      <c r="AA47">
        <v>110.47</v>
      </c>
      <c r="AB47">
        <v>0</v>
      </c>
      <c r="AC47">
        <v>0</v>
      </c>
      <c r="AD47">
        <v>0</v>
      </c>
      <c r="AE47">
        <v>40.17</v>
      </c>
      <c r="AF47">
        <v>0</v>
      </c>
      <c r="AG47">
        <v>0</v>
      </c>
      <c r="AH47">
        <v>0</v>
      </c>
      <c r="AI47">
        <v>2.75</v>
      </c>
      <c r="AJ47">
        <v>1</v>
      </c>
      <c r="AK47">
        <v>1</v>
      </c>
      <c r="AL47">
        <v>1</v>
      </c>
      <c r="AM47">
        <v>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10</v>
      </c>
      <c r="AU47" t="s">
        <v>3</v>
      </c>
      <c r="AV47">
        <v>0</v>
      </c>
      <c r="AW47">
        <v>2</v>
      </c>
      <c r="AX47">
        <v>53861095</v>
      </c>
      <c r="AY47">
        <v>1</v>
      </c>
      <c r="AZ47">
        <v>0</v>
      </c>
      <c r="BA47">
        <v>74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ROUND(Y47*Source!I50,9)</f>
        <v>47</v>
      </c>
      <c r="CY47">
        <f t="shared" si="13"/>
        <v>110.47</v>
      </c>
      <c r="CZ47">
        <f t="shared" si="14"/>
        <v>40.17</v>
      </c>
      <c r="DA47">
        <f t="shared" si="15"/>
        <v>2.75</v>
      </c>
      <c r="DB47">
        <f t="shared" si="16"/>
        <v>401.7</v>
      </c>
      <c r="DC47">
        <f t="shared" si="17"/>
        <v>0</v>
      </c>
      <c r="DD47" t="s">
        <v>3</v>
      </c>
      <c r="DE47" t="s">
        <v>3</v>
      </c>
      <c r="DF47">
        <f t="shared" si="18"/>
        <v>5192.09</v>
      </c>
      <c r="DG47">
        <f t="shared" si="19"/>
        <v>0</v>
      </c>
      <c r="DH47">
        <f t="shared" si="20"/>
        <v>0</v>
      </c>
      <c r="DI47">
        <f t="shared" si="4"/>
        <v>0</v>
      </c>
      <c r="DJ47">
        <f t="shared" si="21"/>
        <v>5192.09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ROW(Source!A50)</f>
        <v>50</v>
      </c>
      <c r="B48">
        <v>53860087</v>
      </c>
      <c r="C48">
        <v>53860293</v>
      </c>
      <c r="D48">
        <v>29558791</v>
      </c>
      <c r="E48">
        <v>1</v>
      </c>
      <c r="F48">
        <v>1</v>
      </c>
      <c r="G48">
        <v>29506949</v>
      </c>
      <c r="H48">
        <v>3</v>
      </c>
      <c r="I48" t="s">
        <v>691</v>
      </c>
      <c r="J48" t="s">
        <v>692</v>
      </c>
      <c r="K48" t="s">
        <v>693</v>
      </c>
      <c r="L48">
        <v>1301</v>
      </c>
      <c r="N48">
        <v>1003</v>
      </c>
      <c r="O48" t="s">
        <v>125</v>
      </c>
      <c r="P48" t="s">
        <v>125</v>
      </c>
      <c r="Q48">
        <v>1</v>
      </c>
      <c r="W48">
        <v>0</v>
      </c>
      <c r="X48">
        <v>1854175844</v>
      </c>
      <c r="Y48">
        <f t="shared" si="12"/>
        <v>68</v>
      </c>
      <c r="AA48">
        <v>1.65</v>
      </c>
      <c r="AB48">
        <v>0</v>
      </c>
      <c r="AC48">
        <v>0</v>
      </c>
      <c r="AD48">
        <v>0</v>
      </c>
      <c r="AE48">
        <v>0.89</v>
      </c>
      <c r="AF48">
        <v>0</v>
      </c>
      <c r="AG48">
        <v>0</v>
      </c>
      <c r="AH48">
        <v>0</v>
      </c>
      <c r="AI48">
        <v>1.85</v>
      </c>
      <c r="AJ48">
        <v>1</v>
      </c>
      <c r="AK48">
        <v>1</v>
      </c>
      <c r="AL48">
        <v>1</v>
      </c>
      <c r="AM48">
        <v>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68</v>
      </c>
      <c r="AU48" t="s">
        <v>3</v>
      </c>
      <c r="AV48">
        <v>0</v>
      </c>
      <c r="AW48">
        <v>2</v>
      </c>
      <c r="AX48">
        <v>53861096</v>
      </c>
      <c r="AY48">
        <v>1</v>
      </c>
      <c r="AZ48">
        <v>0</v>
      </c>
      <c r="BA48">
        <v>75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ROUND(Y48*Source!I50,9)</f>
        <v>319.60000000000002</v>
      </c>
      <c r="CY48">
        <f t="shared" si="13"/>
        <v>1.65</v>
      </c>
      <c r="CZ48">
        <f t="shared" si="14"/>
        <v>0.89</v>
      </c>
      <c r="DA48">
        <f t="shared" si="15"/>
        <v>1.85</v>
      </c>
      <c r="DB48">
        <f t="shared" si="16"/>
        <v>60.52</v>
      </c>
      <c r="DC48">
        <f t="shared" si="17"/>
        <v>0</v>
      </c>
      <c r="DD48" t="s">
        <v>3</v>
      </c>
      <c r="DE48" t="s">
        <v>3</v>
      </c>
      <c r="DF48">
        <f t="shared" si="18"/>
        <v>527.34</v>
      </c>
      <c r="DG48">
        <f t="shared" si="19"/>
        <v>0</v>
      </c>
      <c r="DH48">
        <f t="shared" si="20"/>
        <v>0</v>
      </c>
      <c r="DI48">
        <f t="shared" si="4"/>
        <v>0</v>
      </c>
      <c r="DJ48">
        <f t="shared" si="21"/>
        <v>527.34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ROW(Source!A50)</f>
        <v>50</v>
      </c>
      <c r="B49">
        <v>53860087</v>
      </c>
      <c r="C49">
        <v>53860293</v>
      </c>
      <c r="D49">
        <v>29558792</v>
      </c>
      <c r="E49">
        <v>1</v>
      </c>
      <c r="F49">
        <v>1</v>
      </c>
      <c r="G49">
        <v>29506949</v>
      </c>
      <c r="H49">
        <v>3</v>
      </c>
      <c r="I49" t="s">
        <v>694</v>
      </c>
      <c r="J49" t="s">
        <v>695</v>
      </c>
      <c r="K49" t="s">
        <v>696</v>
      </c>
      <c r="L49">
        <v>1301</v>
      </c>
      <c r="N49">
        <v>1003</v>
      </c>
      <c r="O49" t="s">
        <v>125</v>
      </c>
      <c r="P49" t="s">
        <v>125</v>
      </c>
      <c r="Q49">
        <v>1</v>
      </c>
      <c r="W49">
        <v>0</v>
      </c>
      <c r="X49">
        <v>1534032922</v>
      </c>
      <c r="Y49">
        <f t="shared" si="12"/>
        <v>135</v>
      </c>
      <c r="AA49">
        <v>19.329999999999998</v>
      </c>
      <c r="AB49">
        <v>0</v>
      </c>
      <c r="AC49">
        <v>0</v>
      </c>
      <c r="AD49">
        <v>0</v>
      </c>
      <c r="AE49">
        <v>1.62</v>
      </c>
      <c r="AF49">
        <v>0</v>
      </c>
      <c r="AG49">
        <v>0</v>
      </c>
      <c r="AH49">
        <v>0</v>
      </c>
      <c r="AI49">
        <v>11.93</v>
      </c>
      <c r="AJ49">
        <v>1</v>
      </c>
      <c r="AK49">
        <v>1</v>
      </c>
      <c r="AL49">
        <v>1</v>
      </c>
      <c r="AM49">
        <v>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135</v>
      </c>
      <c r="AU49" t="s">
        <v>3</v>
      </c>
      <c r="AV49">
        <v>0</v>
      </c>
      <c r="AW49">
        <v>2</v>
      </c>
      <c r="AX49">
        <v>53861097</v>
      </c>
      <c r="AY49">
        <v>1</v>
      </c>
      <c r="AZ49">
        <v>0</v>
      </c>
      <c r="BA49">
        <v>76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ROUND(Y49*Source!I50,9)</f>
        <v>634.5</v>
      </c>
      <c r="CY49">
        <f t="shared" si="13"/>
        <v>19.329999999999998</v>
      </c>
      <c r="CZ49">
        <f t="shared" si="14"/>
        <v>1.62</v>
      </c>
      <c r="DA49">
        <f t="shared" si="15"/>
        <v>11.93</v>
      </c>
      <c r="DB49">
        <f t="shared" si="16"/>
        <v>218.7</v>
      </c>
      <c r="DC49">
        <f t="shared" si="17"/>
        <v>0</v>
      </c>
      <c r="DD49" t="s">
        <v>3</v>
      </c>
      <c r="DE49" t="s">
        <v>3</v>
      </c>
      <c r="DF49">
        <f t="shared" si="18"/>
        <v>12264.89</v>
      </c>
      <c r="DG49">
        <f t="shared" si="19"/>
        <v>0</v>
      </c>
      <c r="DH49">
        <f t="shared" si="20"/>
        <v>0</v>
      </c>
      <c r="DI49">
        <f t="shared" si="4"/>
        <v>0</v>
      </c>
      <c r="DJ49">
        <f t="shared" si="21"/>
        <v>12264.89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ROW(Source!A50)</f>
        <v>50</v>
      </c>
      <c r="B50">
        <v>53860087</v>
      </c>
      <c r="C50">
        <v>53860293</v>
      </c>
      <c r="D50">
        <v>29558793</v>
      </c>
      <c r="E50">
        <v>1</v>
      </c>
      <c r="F50">
        <v>1</v>
      </c>
      <c r="G50">
        <v>29506949</v>
      </c>
      <c r="H50">
        <v>3</v>
      </c>
      <c r="I50" t="s">
        <v>123</v>
      </c>
      <c r="J50" t="s">
        <v>126</v>
      </c>
      <c r="K50" t="s">
        <v>124</v>
      </c>
      <c r="L50">
        <v>1301</v>
      </c>
      <c r="N50">
        <v>1003</v>
      </c>
      <c r="O50" t="s">
        <v>125</v>
      </c>
      <c r="P50" t="s">
        <v>125</v>
      </c>
      <c r="Q50">
        <v>1</v>
      </c>
      <c r="W50">
        <v>0</v>
      </c>
      <c r="X50">
        <v>-1897368516</v>
      </c>
      <c r="Y50">
        <f t="shared" si="12"/>
        <v>135</v>
      </c>
      <c r="AA50">
        <v>6.56</v>
      </c>
      <c r="AB50">
        <v>0</v>
      </c>
      <c r="AC50">
        <v>0</v>
      </c>
      <c r="AD50">
        <v>0</v>
      </c>
      <c r="AE50">
        <v>0.71</v>
      </c>
      <c r="AF50">
        <v>0</v>
      </c>
      <c r="AG50">
        <v>0</v>
      </c>
      <c r="AH50">
        <v>0</v>
      </c>
      <c r="AI50">
        <v>9.24</v>
      </c>
      <c r="AJ50">
        <v>1</v>
      </c>
      <c r="AK50">
        <v>1</v>
      </c>
      <c r="AL50">
        <v>1</v>
      </c>
      <c r="AM50">
        <v>0</v>
      </c>
      <c r="AN50">
        <v>0</v>
      </c>
      <c r="AO50">
        <v>0</v>
      </c>
      <c r="AP50">
        <v>1</v>
      </c>
      <c r="AQ50">
        <v>0</v>
      </c>
      <c r="AR50">
        <v>0</v>
      </c>
      <c r="AS50" t="s">
        <v>3</v>
      </c>
      <c r="AT50">
        <v>135</v>
      </c>
      <c r="AU50" t="s">
        <v>3</v>
      </c>
      <c r="AV50">
        <v>0</v>
      </c>
      <c r="AW50">
        <v>1</v>
      </c>
      <c r="AX50">
        <v>-1</v>
      </c>
      <c r="AY50">
        <v>0</v>
      </c>
      <c r="AZ50">
        <v>0</v>
      </c>
      <c r="BA50" t="s">
        <v>3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ROUND(Y50*Source!I50,9)</f>
        <v>634.5</v>
      </c>
      <c r="CY50">
        <f t="shared" si="13"/>
        <v>6.56</v>
      </c>
      <c r="CZ50">
        <f t="shared" si="14"/>
        <v>0.71</v>
      </c>
      <c r="DA50">
        <f t="shared" si="15"/>
        <v>9.24</v>
      </c>
      <c r="DB50">
        <f t="shared" si="16"/>
        <v>95.85</v>
      </c>
      <c r="DC50">
        <f t="shared" si="17"/>
        <v>0</v>
      </c>
      <c r="DD50" t="s">
        <v>3</v>
      </c>
      <c r="DE50" t="s">
        <v>3</v>
      </c>
      <c r="DF50">
        <f t="shared" si="18"/>
        <v>4162.32</v>
      </c>
      <c r="DG50">
        <f t="shared" si="19"/>
        <v>0</v>
      </c>
      <c r="DH50">
        <f t="shared" si="20"/>
        <v>0</v>
      </c>
      <c r="DI50">
        <f t="shared" si="4"/>
        <v>0</v>
      </c>
      <c r="DJ50">
        <f t="shared" si="21"/>
        <v>4162.32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ROW(Source!A50)</f>
        <v>50</v>
      </c>
      <c r="B51">
        <v>53860087</v>
      </c>
      <c r="C51">
        <v>53860293</v>
      </c>
      <c r="D51">
        <v>29558796</v>
      </c>
      <c r="E51">
        <v>1</v>
      </c>
      <c r="F51">
        <v>1</v>
      </c>
      <c r="G51">
        <v>29506949</v>
      </c>
      <c r="H51">
        <v>3</v>
      </c>
      <c r="I51" t="s">
        <v>697</v>
      </c>
      <c r="J51" t="s">
        <v>698</v>
      </c>
      <c r="K51" t="s">
        <v>699</v>
      </c>
      <c r="L51">
        <v>1355</v>
      </c>
      <c r="N51">
        <v>1010</v>
      </c>
      <c r="O51" t="s">
        <v>129</v>
      </c>
      <c r="P51" t="s">
        <v>129</v>
      </c>
      <c r="Q51">
        <v>100</v>
      </c>
      <c r="W51">
        <v>0</v>
      </c>
      <c r="X51">
        <v>-435607190</v>
      </c>
      <c r="Y51">
        <f t="shared" si="12"/>
        <v>3.68</v>
      </c>
      <c r="AA51">
        <v>28.25</v>
      </c>
      <c r="AB51">
        <v>0</v>
      </c>
      <c r="AC51">
        <v>0</v>
      </c>
      <c r="AD51">
        <v>0</v>
      </c>
      <c r="AE51">
        <v>4.93</v>
      </c>
      <c r="AF51">
        <v>0</v>
      </c>
      <c r="AG51">
        <v>0</v>
      </c>
      <c r="AH51">
        <v>0</v>
      </c>
      <c r="AI51">
        <v>5.73</v>
      </c>
      <c r="AJ51">
        <v>1</v>
      </c>
      <c r="AK51">
        <v>1</v>
      </c>
      <c r="AL51">
        <v>1</v>
      </c>
      <c r="AM51">
        <v>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3.68</v>
      </c>
      <c r="AU51" t="s">
        <v>3</v>
      </c>
      <c r="AV51">
        <v>0</v>
      </c>
      <c r="AW51">
        <v>2</v>
      </c>
      <c r="AX51">
        <v>53861098</v>
      </c>
      <c r="AY51">
        <v>1</v>
      </c>
      <c r="AZ51">
        <v>0</v>
      </c>
      <c r="BA51">
        <v>77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ROUND(Y51*Source!I50,9)</f>
        <v>17.295999999999999</v>
      </c>
      <c r="CY51">
        <f t="shared" si="13"/>
        <v>28.25</v>
      </c>
      <c r="CZ51">
        <f t="shared" si="14"/>
        <v>4.93</v>
      </c>
      <c r="DA51">
        <f t="shared" si="15"/>
        <v>5.73</v>
      </c>
      <c r="DB51">
        <f t="shared" si="16"/>
        <v>18.14</v>
      </c>
      <c r="DC51">
        <f t="shared" si="17"/>
        <v>0</v>
      </c>
      <c r="DD51" t="s">
        <v>3</v>
      </c>
      <c r="DE51" t="s">
        <v>3</v>
      </c>
      <c r="DF51">
        <f t="shared" si="18"/>
        <v>488.61</v>
      </c>
      <c r="DG51">
        <f t="shared" si="19"/>
        <v>0</v>
      </c>
      <c r="DH51">
        <f t="shared" si="20"/>
        <v>0</v>
      </c>
      <c r="DI51">
        <f t="shared" si="4"/>
        <v>0</v>
      </c>
      <c r="DJ51">
        <f t="shared" si="21"/>
        <v>488.61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ROW(Source!A50)</f>
        <v>50</v>
      </c>
      <c r="B52">
        <v>53860087</v>
      </c>
      <c r="C52">
        <v>53860293</v>
      </c>
      <c r="D52">
        <v>29558797</v>
      </c>
      <c r="E52">
        <v>1</v>
      </c>
      <c r="F52">
        <v>1</v>
      </c>
      <c r="G52">
        <v>29506949</v>
      </c>
      <c r="H52">
        <v>3</v>
      </c>
      <c r="I52" t="s">
        <v>700</v>
      </c>
      <c r="J52" t="s">
        <v>701</v>
      </c>
      <c r="K52" t="s">
        <v>702</v>
      </c>
      <c r="L52">
        <v>1355</v>
      </c>
      <c r="N52">
        <v>1010</v>
      </c>
      <c r="O52" t="s">
        <v>129</v>
      </c>
      <c r="P52" t="s">
        <v>129</v>
      </c>
      <c r="Q52">
        <v>100</v>
      </c>
      <c r="W52">
        <v>0</v>
      </c>
      <c r="X52">
        <v>-1862673786</v>
      </c>
      <c r="Y52">
        <f t="shared" si="12"/>
        <v>22.21</v>
      </c>
      <c r="AA52">
        <v>21.48</v>
      </c>
      <c r="AB52">
        <v>0</v>
      </c>
      <c r="AC52">
        <v>0</v>
      </c>
      <c r="AD52">
        <v>0</v>
      </c>
      <c r="AE52">
        <v>4.2699999999999996</v>
      </c>
      <c r="AF52">
        <v>0</v>
      </c>
      <c r="AG52">
        <v>0</v>
      </c>
      <c r="AH52">
        <v>0</v>
      </c>
      <c r="AI52">
        <v>5.03</v>
      </c>
      <c r="AJ52">
        <v>1</v>
      </c>
      <c r="AK52">
        <v>1</v>
      </c>
      <c r="AL52">
        <v>1</v>
      </c>
      <c r="AM52">
        <v>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22.21</v>
      </c>
      <c r="AU52" t="s">
        <v>3</v>
      </c>
      <c r="AV52">
        <v>0</v>
      </c>
      <c r="AW52">
        <v>2</v>
      </c>
      <c r="AX52">
        <v>53861099</v>
      </c>
      <c r="AY52">
        <v>1</v>
      </c>
      <c r="AZ52">
        <v>0</v>
      </c>
      <c r="BA52">
        <v>78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ROUND(Y52*Source!I50,9)</f>
        <v>104.387</v>
      </c>
      <c r="CY52">
        <f t="shared" si="13"/>
        <v>21.48</v>
      </c>
      <c r="CZ52">
        <f t="shared" si="14"/>
        <v>4.2699999999999996</v>
      </c>
      <c r="DA52">
        <f t="shared" si="15"/>
        <v>5.03</v>
      </c>
      <c r="DB52">
        <f t="shared" si="16"/>
        <v>94.84</v>
      </c>
      <c r="DC52">
        <f t="shared" si="17"/>
        <v>0</v>
      </c>
      <c r="DD52" t="s">
        <v>3</v>
      </c>
      <c r="DE52" t="s">
        <v>3</v>
      </c>
      <c r="DF52">
        <f t="shared" si="18"/>
        <v>2242.23</v>
      </c>
      <c r="DG52">
        <f t="shared" si="19"/>
        <v>0</v>
      </c>
      <c r="DH52">
        <f t="shared" si="20"/>
        <v>0</v>
      </c>
      <c r="DI52">
        <f t="shared" si="4"/>
        <v>0</v>
      </c>
      <c r="DJ52">
        <f t="shared" si="21"/>
        <v>2242.23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ROW(Source!A50)</f>
        <v>50</v>
      </c>
      <c r="B53">
        <v>53860087</v>
      </c>
      <c r="C53">
        <v>53860293</v>
      </c>
      <c r="D53">
        <v>29558800</v>
      </c>
      <c r="E53">
        <v>1</v>
      </c>
      <c r="F53">
        <v>1</v>
      </c>
      <c r="G53">
        <v>29506949</v>
      </c>
      <c r="H53">
        <v>3</v>
      </c>
      <c r="I53" t="s">
        <v>703</v>
      </c>
      <c r="J53" t="s">
        <v>704</v>
      </c>
      <c r="K53" t="s">
        <v>705</v>
      </c>
      <c r="L53">
        <v>1355</v>
      </c>
      <c r="N53">
        <v>1010</v>
      </c>
      <c r="O53" t="s">
        <v>129</v>
      </c>
      <c r="P53" t="s">
        <v>129</v>
      </c>
      <c r="Q53">
        <v>100</v>
      </c>
      <c r="W53">
        <v>0</v>
      </c>
      <c r="X53">
        <v>2010027150</v>
      </c>
      <c r="Y53">
        <f t="shared" si="12"/>
        <v>3.22</v>
      </c>
      <c r="AA53">
        <v>65.72</v>
      </c>
      <c r="AB53">
        <v>0</v>
      </c>
      <c r="AC53">
        <v>0</v>
      </c>
      <c r="AD53">
        <v>0</v>
      </c>
      <c r="AE53">
        <v>43.81</v>
      </c>
      <c r="AF53">
        <v>0</v>
      </c>
      <c r="AG53">
        <v>0</v>
      </c>
      <c r="AH53">
        <v>0</v>
      </c>
      <c r="AI53">
        <v>1.5</v>
      </c>
      <c r="AJ53">
        <v>1</v>
      </c>
      <c r="AK53">
        <v>1</v>
      </c>
      <c r="AL53">
        <v>1</v>
      </c>
      <c r="AM53">
        <v>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3.22</v>
      </c>
      <c r="AU53" t="s">
        <v>3</v>
      </c>
      <c r="AV53">
        <v>0</v>
      </c>
      <c r="AW53">
        <v>2</v>
      </c>
      <c r="AX53">
        <v>53861100</v>
      </c>
      <c r="AY53">
        <v>1</v>
      </c>
      <c r="AZ53">
        <v>0</v>
      </c>
      <c r="BA53">
        <v>79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ROUND(Y53*Source!I50,9)</f>
        <v>15.134</v>
      </c>
      <c r="CY53">
        <f t="shared" si="13"/>
        <v>65.72</v>
      </c>
      <c r="CZ53">
        <f t="shared" si="14"/>
        <v>43.81</v>
      </c>
      <c r="DA53">
        <f t="shared" si="15"/>
        <v>1.5</v>
      </c>
      <c r="DB53">
        <f t="shared" si="16"/>
        <v>141.07</v>
      </c>
      <c r="DC53">
        <f t="shared" si="17"/>
        <v>0</v>
      </c>
      <c r="DD53" t="s">
        <v>3</v>
      </c>
      <c r="DE53" t="s">
        <v>3</v>
      </c>
      <c r="DF53">
        <f t="shared" si="18"/>
        <v>994.61</v>
      </c>
      <c r="DG53">
        <f t="shared" si="19"/>
        <v>0</v>
      </c>
      <c r="DH53">
        <f t="shared" si="20"/>
        <v>0</v>
      </c>
      <c r="DI53">
        <f t="shared" si="4"/>
        <v>0</v>
      </c>
      <c r="DJ53">
        <f t="shared" si="21"/>
        <v>994.61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ROW(Source!A50)</f>
        <v>50</v>
      </c>
      <c r="B54">
        <v>53860087</v>
      </c>
      <c r="C54">
        <v>53860293</v>
      </c>
      <c r="D54">
        <v>29556004</v>
      </c>
      <c r="E54">
        <v>1</v>
      </c>
      <c r="F54">
        <v>1</v>
      </c>
      <c r="G54">
        <v>29506949</v>
      </c>
      <c r="H54">
        <v>3</v>
      </c>
      <c r="I54" t="s">
        <v>131</v>
      </c>
      <c r="J54" t="s">
        <v>133</v>
      </c>
      <c r="K54" t="s">
        <v>132</v>
      </c>
      <c r="L54">
        <v>1327</v>
      </c>
      <c r="N54">
        <v>1005</v>
      </c>
      <c r="O54" t="s">
        <v>100</v>
      </c>
      <c r="P54" t="s">
        <v>100</v>
      </c>
      <c r="Q54">
        <v>1</v>
      </c>
      <c r="W54">
        <v>0</v>
      </c>
      <c r="X54">
        <v>-561185864</v>
      </c>
      <c r="Y54">
        <f t="shared" si="12"/>
        <v>111</v>
      </c>
      <c r="AA54">
        <v>189.38</v>
      </c>
      <c r="AB54">
        <v>0</v>
      </c>
      <c r="AC54">
        <v>0</v>
      </c>
      <c r="AD54">
        <v>0</v>
      </c>
      <c r="AE54">
        <v>41.26</v>
      </c>
      <c r="AF54">
        <v>0</v>
      </c>
      <c r="AG54">
        <v>0</v>
      </c>
      <c r="AH54">
        <v>0</v>
      </c>
      <c r="AI54">
        <v>4.59</v>
      </c>
      <c r="AJ54">
        <v>1</v>
      </c>
      <c r="AK54">
        <v>1</v>
      </c>
      <c r="AL54">
        <v>1</v>
      </c>
      <c r="AM54">
        <v>0</v>
      </c>
      <c r="AN54">
        <v>0</v>
      </c>
      <c r="AO54">
        <v>0</v>
      </c>
      <c r="AP54">
        <v>1</v>
      </c>
      <c r="AQ54">
        <v>0</v>
      </c>
      <c r="AR54">
        <v>0</v>
      </c>
      <c r="AS54" t="s">
        <v>3</v>
      </c>
      <c r="AT54">
        <v>111</v>
      </c>
      <c r="AU54" t="s">
        <v>3</v>
      </c>
      <c r="AV54">
        <v>0</v>
      </c>
      <c r="AW54">
        <v>1</v>
      </c>
      <c r="AX54">
        <v>-1</v>
      </c>
      <c r="AY54">
        <v>0</v>
      </c>
      <c r="AZ54">
        <v>0</v>
      </c>
      <c r="BA54" t="s">
        <v>3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ROUND(Y54*Source!I50,9)</f>
        <v>521.70000000000005</v>
      </c>
      <c r="CY54">
        <f t="shared" si="13"/>
        <v>189.38</v>
      </c>
      <c r="CZ54">
        <f t="shared" si="14"/>
        <v>41.26</v>
      </c>
      <c r="DA54">
        <f t="shared" si="15"/>
        <v>4.59</v>
      </c>
      <c r="DB54">
        <f t="shared" si="16"/>
        <v>4579.8599999999997</v>
      </c>
      <c r="DC54">
        <f t="shared" si="17"/>
        <v>0</v>
      </c>
      <c r="DD54" t="s">
        <v>3</v>
      </c>
      <c r="DE54" t="s">
        <v>3</v>
      </c>
      <c r="DF54">
        <f t="shared" si="18"/>
        <v>98799.55</v>
      </c>
      <c r="DG54">
        <f t="shared" si="19"/>
        <v>0</v>
      </c>
      <c r="DH54">
        <f t="shared" si="20"/>
        <v>0</v>
      </c>
      <c r="DI54">
        <f t="shared" si="4"/>
        <v>0</v>
      </c>
      <c r="DJ54">
        <f t="shared" si="21"/>
        <v>98799.55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ROW(Source!A50)</f>
        <v>50</v>
      </c>
      <c r="B55">
        <v>53860087</v>
      </c>
      <c r="C55">
        <v>53860293</v>
      </c>
      <c r="D55">
        <v>29574265</v>
      </c>
      <c r="E55">
        <v>1</v>
      </c>
      <c r="F55">
        <v>1</v>
      </c>
      <c r="G55">
        <v>29506949</v>
      </c>
      <c r="H55">
        <v>3</v>
      </c>
      <c r="I55" t="s">
        <v>706</v>
      </c>
      <c r="J55" t="s">
        <v>707</v>
      </c>
      <c r="K55" t="s">
        <v>708</v>
      </c>
      <c r="L55">
        <v>1346</v>
      </c>
      <c r="N55">
        <v>1009</v>
      </c>
      <c r="O55" t="s">
        <v>58</v>
      </c>
      <c r="P55" t="s">
        <v>58</v>
      </c>
      <c r="Q55">
        <v>1</v>
      </c>
      <c r="W55">
        <v>0</v>
      </c>
      <c r="X55">
        <v>-1485587610</v>
      </c>
      <c r="Y55">
        <f t="shared" si="12"/>
        <v>4</v>
      </c>
      <c r="AA55">
        <v>107.43</v>
      </c>
      <c r="AB55">
        <v>0</v>
      </c>
      <c r="AC55">
        <v>0</v>
      </c>
      <c r="AD55">
        <v>0</v>
      </c>
      <c r="AE55">
        <v>14.88</v>
      </c>
      <c r="AF55">
        <v>0</v>
      </c>
      <c r="AG55">
        <v>0</v>
      </c>
      <c r="AH55">
        <v>0</v>
      </c>
      <c r="AI55">
        <v>7.22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4</v>
      </c>
      <c r="AU55" t="s">
        <v>3</v>
      </c>
      <c r="AV55">
        <v>0</v>
      </c>
      <c r="AW55">
        <v>2</v>
      </c>
      <c r="AX55">
        <v>53861101</v>
      </c>
      <c r="AY55">
        <v>1</v>
      </c>
      <c r="AZ55">
        <v>0</v>
      </c>
      <c r="BA55">
        <v>80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ROUND(Y55*Source!I50,9)</f>
        <v>18.8</v>
      </c>
      <c r="CY55">
        <f t="shared" si="13"/>
        <v>107.43</v>
      </c>
      <c r="CZ55">
        <f t="shared" si="14"/>
        <v>14.88</v>
      </c>
      <c r="DA55">
        <f t="shared" si="15"/>
        <v>7.22</v>
      </c>
      <c r="DB55">
        <f t="shared" si="16"/>
        <v>59.52</v>
      </c>
      <c r="DC55">
        <f t="shared" si="17"/>
        <v>0</v>
      </c>
      <c r="DD55" t="s">
        <v>3</v>
      </c>
      <c r="DE55" t="s">
        <v>3</v>
      </c>
      <c r="DF55">
        <f t="shared" si="18"/>
        <v>2019.68</v>
      </c>
      <c r="DG55">
        <f t="shared" si="19"/>
        <v>0</v>
      </c>
      <c r="DH55">
        <f t="shared" si="20"/>
        <v>0</v>
      </c>
      <c r="DI55">
        <f t="shared" si="4"/>
        <v>0</v>
      </c>
      <c r="DJ55">
        <f t="shared" si="21"/>
        <v>2019.68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ROW(Source!A50)</f>
        <v>50</v>
      </c>
      <c r="B56">
        <v>53860087</v>
      </c>
      <c r="C56">
        <v>53860293</v>
      </c>
      <c r="D56">
        <v>29574151</v>
      </c>
      <c r="E56">
        <v>1</v>
      </c>
      <c r="F56">
        <v>1</v>
      </c>
      <c r="G56">
        <v>29506949</v>
      </c>
      <c r="H56">
        <v>3</v>
      </c>
      <c r="I56" t="s">
        <v>709</v>
      </c>
      <c r="J56" t="s">
        <v>710</v>
      </c>
      <c r="K56" t="s">
        <v>977</v>
      </c>
      <c r="L56">
        <v>1346</v>
      </c>
      <c r="N56">
        <v>1009</v>
      </c>
      <c r="O56" t="s">
        <v>58</v>
      </c>
      <c r="P56" t="s">
        <v>58</v>
      </c>
      <c r="Q56">
        <v>1</v>
      </c>
      <c r="W56">
        <v>0</v>
      </c>
      <c r="X56">
        <v>-2085887270</v>
      </c>
      <c r="Y56">
        <f t="shared" si="12"/>
        <v>42</v>
      </c>
      <c r="AA56">
        <v>23.2</v>
      </c>
      <c r="AB56">
        <v>0</v>
      </c>
      <c r="AC56">
        <v>0</v>
      </c>
      <c r="AD56">
        <v>0</v>
      </c>
      <c r="AE56">
        <v>5.19</v>
      </c>
      <c r="AF56">
        <v>0</v>
      </c>
      <c r="AG56">
        <v>0</v>
      </c>
      <c r="AH56">
        <v>0</v>
      </c>
      <c r="AI56">
        <v>4.47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42</v>
      </c>
      <c r="AU56" t="s">
        <v>3</v>
      </c>
      <c r="AV56">
        <v>0</v>
      </c>
      <c r="AW56">
        <v>2</v>
      </c>
      <c r="AX56">
        <v>53861102</v>
      </c>
      <c r="AY56">
        <v>1</v>
      </c>
      <c r="AZ56">
        <v>0</v>
      </c>
      <c r="BA56">
        <v>81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ROUND(Y56*Source!I50,9)</f>
        <v>197.4</v>
      </c>
      <c r="CY56">
        <f t="shared" si="13"/>
        <v>23.2</v>
      </c>
      <c r="CZ56">
        <f t="shared" si="14"/>
        <v>5.19</v>
      </c>
      <c r="DA56">
        <f t="shared" si="15"/>
        <v>4.47</v>
      </c>
      <c r="DB56">
        <f t="shared" si="16"/>
        <v>217.98</v>
      </c>
      <c r="DC56">
        <f t="shared" si="17"/>
        <v>0</v>
      </c>
      <c r="DD56" t="s">
        <v>3</v>
      </c>
      <c r="DE56" t="s">
        <v>3</v>
      </c>
      <c r="DF56">
        <f t="shared" si="18"/>
        <v>4579.68</v>
      </c>
      <c r="DG56">
        <f t="shared" si="19"/>
        <v>0</v>
      </c>
      <c r="DH56">
        <f t="shared" si="20"/>
        <v>0</v>
      </c>
      <c r="DI56">
        <f t="shared" si="4"/>
        <v>0</v>
      </c>
      <c r="DJ56">
        <f t="shared" si="21"/>
        <v>4579.68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ROW(Source!A50)</f>
        <v>50</v>
      </c>
      <c r="B57">
        <v>53860087</v>
      </c>
      <c r="C57">
        <v>53860293</v>
      </c>
      <c r="D57">
        <v>29577896</v>
      </c>
      <c r="E57">
        <v>1</v>
      </c>
      <c r="F57">
        <v>1</v>
      </c>
      <c r="G57">
        <v>29506949</v>
      </c>
      <c r="H57">
        <v>3</v>
      </c>
      <c r="I57" t="s">
        <v>712</v>
      </c>
      <c r="J57" t="s">
        <v>713</v>
      </c>
      <c r="K57" t="s">
        <v>714</v>
      </c>
      <c r="L57">
        <v>1301</v>
      </c>
      <c r="N57">
        <v>1003</v>
      </c>
      <c r="O57" t="s">
        <v>125</v>
      </c>
      <c r="P57" t="s">
        <v>125</v>
      </c>
      <c r="Q57">
        <v>1</v>
      </c>
      <c r="W57">
        <v>0</v>
      </c>
      <c r="X57">
        <v>-1571691948</v>
      </c>
      <c r="Y57">
        <f t="shared" si="12"/>
        <v>136</v>
      </c>
      <c r="AA57">
        <v>31.41</v>
      </c>
      <c r="AB57">
        <v>0</v>
      </c>
      <c r="AC57">
        <v>0</v>
      </c>
      <c r="AD57">
        <v>0</v>
      </c>
      <c r="AE57">
        <v>14.41</v>
      </c>
      <c r="AF57">
        <v>0</v>
      </c>
      <c r="AG57">
        <v>0</v>
      </c>
      <c r="AH57">
        <v>0</v>
      </c>
      <c r="AI57">
        <v>2.1800000000000002</v>
      </c>
      <c r="AJ57">
        <v>1</v>
      </c>
      <c r="AK57">
        <v>1</v>
      </c>
      <c r="AL57">
        <v>1</v>
      </c>
      <c r="AM57">
        <v>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136</v>
      </c>
      <c r="AU57" t="s">
        <v>3</v>
      </c>
      <c r="AV57">
        <v>0</v>
      </c>
      <c r="AW57">
        <v>2</v>
      </c>
      <c r="AX57">
        <v>53861103</v>
      </c>
      <c r="AY57">
        <v>1</v>
      </c>
      <c r="AZ57">
        <v>0</v>
      </c>
      <c r="BA57">
        <v>82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ROUND(Y57*Source!I50,9)</f>
        <v>639.20000000000005</v>
      </c>
      <c r="CY57">
        <f t="shared" si="13"/>
        <v>31.41</v>
      </c>
      <c r="CZ57">
        <f t="shared" si="14"/>
        <v>14.41</v>
      </c>
      <c r="DA57">
        <f t="shared" si="15"/>
        <v>2.1800000000000002</v>
      </c>
      <c r="DB57">
        <f t="shared" si="16"/>
        <v>1959.76</v>
      </c>
      <c r="DC57">
        <f t="shared" si="17"/>
        <v>0</v>
      </c>
      <c r="DD57" t="s">
        <v>3</v>
      </c>
      <c r="DE57" t="s">
        <v>3</v>
      </c>
      <c r="DF57">
        <f t="shared" si="18"/>
        <v>20077.27</v>
      </c>
      <c r="DG57">
        <f t="shared" si="19"/>
        <v>0</v>
      </c>
      <c r="DH57">
        <f t="shared" si="20"/>
        <v>0</v>
      </c>
      <c r="DI57">
        <f t="shared" si="4"/>
        <v>0</v>
      </c>
      <c r="DJ57">
        <f t="shared" si="21"/>
        <v>20077.27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ROW(Source!A50)</f>
        <v>50</v>
      </c>
      <c r="B58">
        <v>53860087</v>
      </c>
      <c r="C58">
        <v>53860293</v>
      </c>
      <c r="D58">
        <v>29577900</v>
      </c>
      <c r="E58">
        <v>1</v>
      </c>
      <c r="F58">
        <v>1</v>
      </c>
      <c r="G58">
        <v>29506949</v>
      </c>
      <c r="H58">
        <v>3</v>
      </c>
      <c r="I58" t="s">
        <v>715</v>
      </c>
      <c r="J58" t="s">
        <v>716</v>
      </c>
      <c r="K58" t="s">
        <v>717</v>
      </c>
      <c r="L58">
        <v>1301</v>
      </c>
      <c r="N58">
        <v>1003</v>
      </c>
      <c r="O58" t="s">
        <v>125</v>
      </c>
      <c r="P58" t="s">
        <v>125</v>
      </c>
      <c r="Q58">
        <v>1</v>
      </c>
      <c r="W58">
        <v>0</v>
      </c>
      <c r="X58">
        <v>-2077203234</v>
      </c>
      <c r="Y58">
        <f t="shared" si="12"/>
        <v>306</v>
      </c>
      <c r="AA58">
        <v>49.24</v>
      </c>
      <c r="AB58">
        <v>0</v>
      </c>
      <c r="AC58">
        <v>0</v>
      </c>
      <c r="AD58">
        <v>0</v>
      </c>
      <c r="AE58">
        <v>14.61</v>
      </c>
      <c r="AF58">
        <v>0</v>
      </c>
      <c r="AG58">
        <v>0</v>
      </c>
      <c r="AH58">
        <v>0</v>
      </c>
      <c r="AI58">
        <v>3.37</v>
      </c>
      <c r="AJ58">
        <v>1</v>
      </c>
      <c r="AK58">
        <v>1</v>
      </c>
      <c r="AL58">
        <v>1</v>
      </c>
      <c r="AM58">
        <v>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306</v>
      </c>
      <c r="AU58" t="s">
        <v>3</v>
      </c>
      <c r="AV58">
        <v>0</v>
      </c>
      <c r="AW58">
        <v>2</v>
      </c>
      <c r="AX58">
        <v>53861104</v>
      </c>
      <c r="AY58">
        <v>1</v>
      </c>
      <c r="AZ58">
        <v>0</v>
      </c>
      <c r="BA58">
        <v>83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ROUND(Y58*Source!I50,9)</f>
        <v>1438.2</v>
      </c>
      <c r="CY58">
        <f t="shared" si="13"/>
        <v>49.24</v>
      </c>
      <c r="CZ58">
        <f t="shared" si="14"/>
        <v>14.61</v>
      </c>
      <c r="DA58">
        <f t="shared" si="15"/>
        <v>3.37</v>
      </c>
      <c r="DB58">
        <f t="shared" si="16"/>
        <v>4470.66</v>
      </c>
      <c r="DC58">
        <f t="shared" si="17"/>
        <v>0</v>
      </c>
      <c r="DD58" t="s">
        <v>3</v>
      </c>
      <c r="DE58" t="s">
        <v>3</v>
      </c>
      <c r="DF58">
        <f t="shared" si="18"/>
        <v>70816.97</v>
      </c>
      <c r="DG58">
        <f t="shared" si="19"/>
        <v>0</v>
      </c>
      <c r="DH58">
        <f t="shared" si="20"/>
        <v>0</v>
      </c>
      <c r="DI58">
        <f t="shared" si="4"/>
        <v>0</v>
      </c>
      <c r="DJ58">
        <f t="shared" si="21"/>
        <v>70816.97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ROW(Source!A50)</f>
        <v>50</v>
      </c>
      <c r="B59">
        <v>53860087</v>
      </c>
      <c r="C59">
        <v>53860293</v>
      </c>
      <c r="D59">
        <v>29577905</v>
      </c>
      <c r="E59">
        <v>1</v>
      </c>
      <c r="F59">
        <v>1</v>
      </c>
      <c r="G59">
        <v>29506949</v>
      </c>
      <c r="H59">
        <v>3</v>
      </c>
      <c r="I59" t="s">
        <v>718</v>
      </c>
      <c r="J59" t="s">
        <v>719</v>
      </c>
      <c r="K59" t="s">
        <v>720</v>
      </c>
      <c r="L59">
        <v>1355</v>
      </c>
      <c r="N59">
        <v>1010</v>
      </c>
      <c r="O59" t="s">
        <v>129</v>
      </c>
      <c r="P59" t="s">
        <v>129</v>
      </c>
      <c r="Q59">
        <v>100</v>
      </c>
      <c r="W59">
        <v>0</v>
      </c>
      <c r="X59">
        <v>-1375760764</v>
      </c>
      <c r="Y59">
        <f t="shared" si="12"/>
        <v>0.81</v>
      </c>
      <c r="AA59">
        <v>1282.17</v>
      </c>
      <c r="AB59">
        <v>0</v>
      </c>
      <c r="AC59">
        <v>0</v>
      </c>
      <c r="AD59">
        <v>0</v>
      </c>
      <c r="AE59">
        <v>235.26</v>
      </c>
      <c r="AF59">
        <v>0</v>
      </c>
      <c r="AG59">
        <v>0</v>
      </c>
      <c r="AH59">
        <v>0</v>
      </c>
      <c r="AI59">
        <v>5.45</v>
      </c>
      <c r="AJ59">
        <v>1</v>
      </c>
      <c r="AK59">
        <v>1</v>
      </c>
      <c r="AL59">
        <v>1</v>
      </c>
      <c r="AM59">
        <v>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0.81</v>
      </c>
      <c r="AU59" t="s">
        <v>3</v>
      </c>
      <c r="AV59">
        <v>0</v>
      </c>
      <c r="AW59">
        <v>2</v>
      </c>
      <c r="AX59">
        <v>53861105</v>
      </c>
      <c r="AY59">
        <v>1</v>
      </c>
      <c r="AZ59">
        <v>0</v>
      </c>
      <c r="BA59">
        <v>84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ROUND(Y59*Source!I50,9)</f>
        <v>3.8069999999999999</v>
      </c>
      <c r="CY59">
        <f t="shared" si="13"/>
        <v>1282.17</v>
      </c>
      <c r="CZ59">
        <f t="shared" si="14"/>
        <v>235.26</v>
      </c>
      <c r="DA59">
        <f t="shared" si="15"/>
        <v>5.45</v>
      </c>
      <c r="DB59">
        <f t="shared" si="16"/>
        <v>190.56</v>
      </c>
      <c r="DC59">
        <f t="shared" si="17"/>
        <v>0</v>
      </c>
      <c r="DD59" t="s">
        <v>3</v>
      </c>
      <c r="DE59" t="s">
        <v>3</v>
      </c>
      <c r="DF59">
        <f t="shared" si="18"/>
        <v>4881.22</v>
      </c>
      <c r="DG59">
        <f t="shared" si="19"/>
        <v>0</v>
      </c>
      <c r="DH59">
        <f t="shared" si="20"/>
        <v>0</v>
      </c>
      <c r="DI59">
        <f t="shared" si="4"/>
        <v>0</v>
      </c>
      <c r="DJ59">
        <f t="shared" si="21"/>
        <v>4881.22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ROW(Source!A50)</f>
        <v>50</v>
      </c>
      <c r="B60">
        <v>53860087</v>
      </c>
      <c r="C60">
        <v>53860293</v>
      </c>
      <c r="D60">
        <v>29577906</v>
      </c>
      <c r="E60">
        <v>1</v>
      </c>
      <c r="F60">
        <v>1</v>
      </c>
      <c r="G60">
        <v>29506949</v>
      </c>
      <c r="H60">
        <v>3</v>
      </c>
      <c r="I60" t="s">
        <v>721</v>
      </c>
      <c r="J60" t="s">
        <v>722</v>
      </c>
      <c r="K60" t="s">
        <v>723</v>
      </c>
      <c r="L60">
        <v>1355</v>
      </c>
      <c r="N60">
        <v>1010</v>
      </c>
      <c r="O60" t="s">
        <v>129</v>
      </c>
      <c r="P60" t="s">
        <v>129</v>
      </c>
      <c r="Q60">
        <v>100</v>
      </c>
      <c r="W60">
        <v>0</v>
      </c>
      <c r="X60">
        <v>1297200948</v>
      </c>
      <c r="Y60">
        <f t="shared" si="12"/>
        <v>1.83</v>
      </c>
      <c r="AA60">
        <v>2009.82</v>
      </c>
      <c r="AB60">
        <v>0</v>
      </c>
      <c r="AC60">
        <v>0</v>
      </c>
      <c r="AD60">
        <v>0</v>
      </c>
      <c r="AE60">
        <v>318.01</v>
      </c>
      <c r="AF60">
        <v>0</v>
      </c>
      <c r="AG60">
        <v>0</v>
      </c>
      <c r="AH60">
        <v>0</v>
      </c>
      <c r="AI60">
        <v>6.32</v>
      </c>
      <c r="AJ60">
        <v>1</v>
      </c>
      <c r="AK60">
        <v>1</v>
      </c>
      <c r="AL60">
        <v>1</v>
      </c>
      <c r="AM60">
        <v>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1.83</v>
      </c>
      <c r="AU60" t="s">
        <v>3</v>
      </c>
      <c r="AV60">
        <v>0</v>
      </c>
      <c r="AW60">
        <v>2</v>
      </c>
      <c r="AX60">
        <v>53861106</v>
      </c>
      <c r="AY60">
        <v>1</v>
      </c>
      <c r="AZ60">
        <v>0</v>
      </c>
      <c r="BA60">
        <v>85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ROUND(Y60*Source!I50,9)</f>
        <v>8.6010000000000009</v>
      </c>
      <c r="CY60">
        <f t="shared" si="13"/>
        <v>2009.82</v>
      </c>
      <c r="CZ60">
        <f t="shared" si="14"/>
        <v>318.01</v>
      </c>
      <c r="DA60">
        <f t="shared" si="15"/>
        <v>6.32</v>
      </c>
      <c r="DB60">
        <f t="shared" si="16"/>
        <v>581.96</v>
      </c>
      <c r="DC60">
        <f t="shared" si="17"/>
        <v>0</v>
      </c>
      <c r="DD60" t="s">
        <v>3</v>
      </c>
      <c r="DE60" t="s">
        <v>3</v>
      </c>
      <c r="DF60">
        <f t="shared" si="18"/>
        <v>17286.46</v>
      </c>
      <c r="DG60">
        <f t="shared" si="19"/>
        <v>0</v>
      </c>
      <c r="DH60">
        <f t="shared" si="20"/>
        <v>0</v>
      </c>
      <c r="DI60">
        <f t="shared" si="4"/>
        <v>0</v>
      </c>
      <c r="DJ60">
        <f t="shared" si="21"/>
        <v>17286.46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ROW(Source!A50)</f>
        <v>50</v>
      </c>
      <c r="B61">
        <v>53860087</v>
      </c>
      <c r="C61">
        <v>53860293</v>
      </c>
      <c r="D61">
        <v>29577909</v>
      </c>
      <c r="E61">
        <v>1</v>
      </c>
      <c r="F61">
        <v>1</v>
      </c>
      <c r="G61">
        <v>29506949</v>
      </c>
      <c r="H61">
        <v>3</v>
      </c>
      <c r="I61" t="s">
        <v>127</v>
      </c>
      <c r="J61" t="s">
        <v>130</v>
      </c>
      <c r="K61" t="s">
        <v>128</v>
      </c>
      <c r="L61">
        <v>1355</v>
      </c>
      <c r="N61">
        <v>1010</v>
      </c>
      <c r="O61" t="s">
        <v>129</v>
      </c>
      <c r="P61" t="s">
        <v>129</v>
      </c>
      <c r="Q61">
        <v>100</v>
      </c>
      <c r="W61">
        <v>0</v>
      </c>
      <c r="X61">
        <v>1420060899</v>
      </c>
      <c r="Y61">
        <f t="shared" si="12"/>
        <v>0.81</v>
      </c>
      <c r="AA61">
        <v>738.54</v>
      </c>
      <c r="AB61">
        <v>0</v>
      </c>
      <c r="AC61">
        <v>0</v>
      </c>
      <c r="AD61">
        <v>0</v>
      </c>
      <c r="AE61">
        <v>108.45</v>
      </c>
      <c r="AF61">
        <v>0</v>
      </c>
      <c r="AG61">
        <v>0</v>
      </c>
      <c r="AH61">
        <v>0</v>
      </c>
      <c r="AI61">
        <v>6.81</v>
      </c>
      <c r="AJ61">
        <v>1</v>
      </c>
      <c r="AK61">
        <v>1</v>
      </c>
      <c r="AL61">
        <v>1</v>
      </c>
      <c r="AM61">
        <v>0</v>
      </c>
      <c r="AN61">
        <v>0</v>
      </c>
      <c r="AO61">
        <v>0</v>
      </c>
      <c r="AP61">
        <v>1</v>
      </c>
      <c r="AQ61">
        <v>0</v>
      </c>
      <c r="AR61">
        <v>0</v>
      </c>
      <c r="AS61" t="s">
        <v>3</v>
      </c>
      <c r="AT61">
        <v>0.81</v>
      </c>
      <c r="AU61" t="s">
        <v>3</v>
      </c>
      <c r="AV61">
        <v>0</v>
      </c>
      <c r="AW61">
        <v>1</v>
      </c>
      <c r="AX61">
        <v>-1</v>
      </c>
      <c r="AY61">
        <v>0</v>
      </c>
      <c r="AZ61">
        <v>0</v>
      </c>
      <c r="BA61" t="s">
        <v>3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ROUND(Y61*Source!I50,9)</f>
        <v>3.8069999999999999</v>
      </c>
      <c r="CY61">
        <f t="shared" si="13"/>
        <v>738.54</v>
      </c>
      <c r="CZ61">
        <f t="shared" si="14"/>
        <v>108.45</v>
      </c>
      <c r="DA61">
        <f t="shared" si="15"/>
        <v>6.81</v>
      </c>
      <c r="DB61">
        <f t="shared" si="16"/>
        <v>87.84</v>
      </c>
      <c r="DC61">
        <f t="shared" si="17"/>
        <v>0</v>
      </c>
      <c r="DD61" t="s">
        <v>3</v>
      </c>
      <c r="DE61" t="s">
        <v>3</v>
      </c>
      <c r="DF61">
        <f t="shared" si="18"/>
        <v>2811.62</v>
      </c>
      <c r="DG61">
        <f t="shared" si="19"/>
        <v>0</v>
      </c>
      <c r="DH61">
        <f t="shared" si="20"/>
        <v>0</v>
      </c>
      <c r="DI61">
        <f t="shared" si="4"/>
        <v>0</v>
      </c>
      <c r="DJ61">
        <f t="shared" si="21"/>
        <v>2811.62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ROW(Source!A50)</f>
        <v>50</v>
      </c>
      <c r="B62">
        <v>53860087</v>
      </c>
      <c r="C62">
        <v>53860293</v>
      </c>
      <c r="D62">
        <v>29577916</v>
      </c>
      <c r="E62">
        <v>1</v>
      </c>
      <c r="F62">
        <v>1</v>
      </c>
      <c r="G62">
        <v>29506949</v>
      </c>
      <c r="H62">
        <v>3</v>
      </c>
      <c r="I62" t="s">
        <v>724</v>
      </c>
      <c r="J62" t="s">
        <v>725</v>
      </c>
      <c r="K62" t="s">
        <v>726</v>
      </c>
      <c r="L62">
        <v>1355</v>
      </c>
      <c r="N62">
        <v>1010</v>
      </c>
      <c r="O62" t="s">
        <v>129</v>
      </c>
      <c r="P62" t="s">
        <v>129</v>
      </c>
      <c r="Q62">
        <v>100</v>
      </c>
      <c r="W62">
        <v>0</v>
      </c>
      <c r="X62">
        <v>-1385674730</v>
      </c>
      <c r="Y62">
        <f t="shared" si="12"/>
        <v>0.81</v>
      </c>
      <c r="AA62">
        <v>736.49</v>
      </c>
      <c r="AB62">
        <v>0</v>
      </c>
      <c r="AC62">
        <v>0</v>
      </c>
      <c r="AD62">
        <v>0</v>
      </c>
      <c r="AE62">
        <v>114.54</v>
      </c>
      <c r="AF62">
        <v>0</v>
      </c>
      <c r="AG62">
        <v>0</v>
      </c>
      <c r="AH62">
        <v>0</v>
      </c>
      <c r="AI62">
        <v>6.43</v>
      </c>
      <c r="AJ62">
        <v>1</v>
      </c>
      <c r="AK62">
        <v>1</v>
      </c>
      <c r="AL62">
        <v>1</v>
      </c>
      <c r="AM62">
        <v>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0.81</v>
      </c>
      <c r="AU62" t="s">
        <v>3</v>
      </c>
      <c r="AV62">
        <v>0</v>
      </c>
      <c r="AW62">
        <v>2</v>
      </c>
      <c r="AX62">
        <v>53861107</v>
      </c>
      <c r="AY62">
        <v>1</v>
      </c>
      <c r="AZ62">
        <v>0</v>
      </c>
      <c r="BA62">
        <v>86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ROUND(Y62*Source!I50,9)</f>
        <v>3.8069999999999999</v>
      </c>
      <c r="CY62">
        <f t="shared" si="13"/>
        <v>736.49</v>
      </c>
      <c r="CZ62">
        <f t="shared" si="14"/>
        <v>114.54</v>
      </c>
      <c r="DA62">
        <f t="shared" si="15"/>
        <v>6.43</v>
      </c>
      <c r="DB62">
        <f t="shared" si="16"/>
        <v>92.78</v>
      </c>
      <c r="DC62">
        <f t="shared" si="17"/>
        <v>0</v>
      </c>
      <c r="DD62" t="s">
        <v>3</v>
      </c>
      <c r="DE62" t="s">
        <v>3</v>
      </c>
      <c r="DF62">
        <f t="shared" si="18"/>
        <v>2803.82</v>
      </c>
      <c r="DG62">
        <f t="shared" si="19"/>
        <v>0</v>
      </c>
      <c r="DH62">
        <f t="shared" si="20"/>
        <v>0</v>
      </c>
      <c r="DI62">
        <f t="shared" si="4"/>
        <v>0</v>
      </c>
      <c r="DJ62">
        <f t="shared" si="21"/>
        <v>2803.82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ROW(Source!A54)</f>
        <v>54</v>
      </c>
      <c r="B63">
        <v>53860087</v>
      </c>
      <c r="C63">
        <v>53860343</v>
      </c>
      <c r="D63">
        <v>29506954</v>
      </c>
      <c r="E63">
        <v>29506949</v>
      </c>
      <c r="F63">
        <v>1</v>
      </c>
      <c r="G63">
        <v>29506949</v>
      </c>
      <c r="H63">
        <v>1</v>
      </c>
      <c r="I63" t="s">
        <v>638</v>
      </c>
      <c r="J63" t="s">
        <v>3</v>
      </c>
      <c r="K63" t="s">
        <v>639</v>
      </c>
      <c r="L63">
        <v>1191</v>
      </c>
      <c r="N63">
        <v>1013</v>
      </c>
      <c r="O63" t="s">
        <v>640</v>
      </c>
      <c r="P63" t="s">
        <v>640</v>
      </c>
      <c r="Q63">
        <v>1</v>
      </c>
      <c r="W63">
        <v>0</v>
      </c>
      <c r="X63">
        <v>476480486</v>
      </c>
      <c r="Y63">
        <f>(AT63*1.15)</f>
        <v>17.25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15</v>
      </c>
      <c r="AU63" t="s">
        <v>52</v>
      </c>
      <c r="AV63">
        <v>1</v>
      </c>
      <c r="AW63">
        <v>2</v>
      </c>
      <c r="AX63">
        <v>53861111</v>
      </c>
      <c r="AY63">
        <v>1</v>
      </c>
      <c r="AZ63">
        <v>0</v>
      </c>
      <c r="BA63">
        <v>90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U63">
        <f>ROUND(AT63*Source!I54*AH63*AL63,2)</f>
        <v>0</v>
      </c>
      <c r="CV63">
        <f>ROUND(Y63*Source!I54,9)</f>
        <v>81.075000000000003</v>
      </c>
      <c r="CW63">
        <v>0</v>
      </c>
      <c r="CX63">
        <f>ROUND(Y63*Source!I54,9)</f>
        <v>81.075000000000003</v>
      </c>
      <c r="CY63">
        <f>AD63</f>
        <v>0</v>
      </c>
      <c r="CZ63">
        <f>AH63</f>
        <v>0</v>
      </c>
      <c r="DA63">
        <f>AL63</f>
        <v>1</v>
      </c>
      <c r="DB63">
        <f>ROUND((ROUND(AT63*CZ63,2)*1.15),6)</f>
        <v>0</v>
      </c>
      <c r="DC63">
        <f>ROUND((ROUND(AT63*AG63,2)*1.15),6)</f>
        <v>0</v>
      </c>
      <c r="DD63" t="s">
        <v>3</v>
      </c>
      <c r="DE63" t="s">
        <v>3</v>
      </c>
      <c r="DF63">
        <f>ROUND(ROUND(AE63,2)*CX63,2)</f>
        <v>0</v>
      </c>
      <c r="DG63">
        <f t="shared" si="19"/>
        <v>0</v>
      </c>
      <c r="DH63">
        <f t="shared" si="20"/>
        <v>0</v>
      </c>
      <c r="DI63">
        <f t="shared" si="4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ROW(Source!A54)</f>
        <v>54</v>
      </c>
      <c r="B64">
        <v>53860087</v>
      </c>
      <c r="C64">
        <v>53860343</v>
      </c>
      <c r="D64">
        <v>29507683</v>
      </c>
      <c r="E64">
        <v>29506949</v>
      </c>
      <c r="F64">
        <v>1</v>
      </c>
      <c r="G64">
        <v>29506949</v>
      </c>
      <c r="H64">
        <v>2</v>
      </c>
      <c r="I64" t="s">
        <v>641</v>
      </c>
      <c r="J64" t="s">
        <v>3</v>
      </c>
      <c r="K64" t="s">
        <v>642</v>
      </c>
      <c r="L64">
        <v>1344</v>
      </c>
      <c r="N64">
        <v>1008</v>
      </c>
      <c r="O64" t="s">
        <v>643</v>
      </c>
      <c r="P64" t="s">
        <v>643</v>
      </c>
      <c r="Q64">
        <v>1</v>
      </c>
      <c r="W64">
        <v>0</v>
      </c>
      <c r="X64">
        <v>-1180195794</v>
      </c>
      <c r="Y64">
        <f>(AT64*1.25)</f>
        <v>0.92500000000000004</v>
      </c>
      <c r="AA64">
        <v>0</v>
      </c>
      <c r="AB64">
        <v>1.03</v>
      </c>
      <c r="AC64">
        <v>0</v>
      </c>
      <c r="AD64">
        <v>0</v>
      </c>
      <c r="AE64">
        <v>0</v>
      </c>
      <c r="AF64">
        <v>1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0.74</v>
      </c>
      <c r="AU64" t="s">
        <v>51</v>
      </c>
      <c r="AV64">
        <v>0</v>
      </c>
      <c r="AW64">
        <v>1</v>
      </c>
      <c r="AX64">
        <v>-1</v>
      </c>
      <c r="AY64">
        <v>0</v>
      </c>
      <c r="AZ64">
        <v>0</v>
      </c>
      <c r="BA64" t="s">
        <v>3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f>ROUND(Y64*Source!I54,9)</f>
        <v>4.3475000000000001</v>
      </c>
      <c r="CX64">
        <f>ROUND(Y64*Source!I54,9)</f>
        <v>4.3475000000000001</v>
      </c>
      <c r="CY64">
        <f>AB64</f>
        <v>1.03</v>
      </c>
      <c r="CZ64">
        <f>AF64</f>
        <v>1</v>
      </c>
      <c r="DA64">
        <f>AJ64</f>
        <v>1</v>
      </c>
      <c r="DB64">
        <f>ROUND((ROUND(AT64*CZ64,2)*1.25),6)</f>
        <v>0.92500000000000004</v>
      </c>
      <c r="DC64">
        <f>ROUND((ROUND(AT64*AG64,2)*1.25),6)</f>
        <v>0</v>
      </c>
      <c r="DD64" t="s">
        <v>3</v>
      </c>
      <c r="DE64" t="s">
        <v>3</v>
      </c>
      <c r="DF64">
        <f>ROUND(ROUND(AE64,2)*CX64,2)</f>
        <v>0</v>
      </c>
      <c r="DG64">
        <f t="shared" si="19"/>
        <v>4.3499999999999996</v>
      </c>
      <c r="DH64">
        <f t="shared" si="20"/>
        <v>0</v>
      </c>
      <c r="DI64">
        <f t="shared" si="4"/>
        <v>0</v>
      </c>
      <c r="DJ64">
        <f>DG64</f>
        <v>4.3499999999999996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ROW(Source!A54)</f>
        <v>54</v>
      </c>
      <c r="B65">
        <v>53860087</v>
      </c>
      <c r="C65">
        <v>53860343</v>
      </c>
      <c r="D65">
        <v>29556831</v>
      </c>
      <c r="E65">
        <v>1</v>
      </c>
      <c r="F65">
        <v>1</v>
      </c>
      <c r="G65">
        <v>29506949</v>
      </c>
      <c r="H65">
        <v>3</v>
      </c>
      <c r="I65" t="s">
        <v>140</v>
      </c>
      <c r="J65" t="s">
        <v>142</v>
      </c>
      <c r="K65" t="s">
        <v>141</v>
      </c>
      <c r="L65">
        <v>1348</v>
      </c>
      <c r="N65">
        <v>1009</v>
      </c>
      <c r="O65" t="s">
        <v>75</v>
      </c>
      <c r="P65" t="s">
        <v>75</v>
      </c>
      <c r="Q65">
        <v>1000</v>
      </c>
      <c r="W65">
        <v>0</v>
      </c>
      <c r="X65">
        <v>1793685401</v>
      </c>
      <c r="Y65">
        <f>AT65</f>
        <v>3.2000000000000001E-2</v>
      </c>
      <c r="AA65">
        <v>18982.740000000002</v>
      </c>
      <c r="AB65">
        <v>0</v>
      </c>
      <c r="AC65">
        <v>0</v>
      </c>
      <c r="AD65">
        <v>0</v>
      </c>
      <c r="AE65">
        <v>2278.84</v>
      </c>
      <c r="AF65">
        <v>0</v>
      </c>
      <c r="AG65">
        <v>0</v>
      </c>
      <c r="AH65">
        <v>0</v>
      </c>
      <c r="AI65">
        <v>8.33</v>
      </c>
      <c r="AJ65">
        <v>1</v>
      </c>
      <c r="AK65">
        <v>1</v>
      </c>
      <c r="AL65">
        <v>1</v>
      </c>
      <c r="AM65">
        <v>0</v>
      </c>
      <c r="AN65">
        <v>0</v>
      </c>
      <c r="AO65">
        <v>0</v>
      </c>
      <c r="AP65">
        <v>1</v>
      </c>
      <c r="AQ65">
        <v>0</v>
      </c>
      <c r="AR65">
        <v>0</v>
      </c>
      <c r="AS65" t="s">
        <v>3</v>
      </c>
      <c r="AT65">
        <v>3.2000000000000001E-2</v>
      </c>
      <c r="AU65" t="s">
        <v>3</v>
      </c>
      <c r="AV65">
        <v>0</v>
      </c>
      <c r="AW65">
        <v>1</v>
      </c>
      <c r="AX65">
        <v>-1</v>
      </c>
      <c r="AY65">
        <v>0</v>
      </c>
      <c r="AZ65">
        <v>0</v>
      </c>
      <c r="BA65" t="s">
        <v>3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ROUND(Y65*Source!I54,9)</f>
        <v>0.15040000000000001</v>
      </c>
      <c r="CY65">
        <f>AA65</f>
        <v>18982.740000000002</v>
      </c>
      <c r="CZ65">
        <f>AE65</f>
        <v>2278.84</v>
      </c>
      <c r="DA65">
        <f>AI65</f>
        <v>8.33</v>
      </c>
      <c r="DB65">
        <f>ROUND(ROUND(AT65*CZ65,2),6)</f>
        <v>72.92</v>
      </c>
      <c r="DC65">
        <f>ROUND(ROUND(AT65*AG65,2),6)</f>
        <v>0</v>
      </c>
      <c r="DD65" t="s">
        <v>3</v>
      </c>
      <c r="DE65" t="s">
        <v>3</v>
      </c>
      <c r="DF65">
        <f>ROUND(ROUND(AE65*AI65,2)*CX65,2)</f>
        <v>2855</v>
      </c>
      <c r="DG65">
        <f t="shared" si="19"/>
        <v>0</v>
      </c>
      <c r="DH65">
        <f t="shared" si="20"/>
        <v>0</v>
      </c>
      <c r="DI65">
        <f t="shared" ref="DI65:DI128" si="22">ROUND(ROUND(AH65,2)*CX65,2)</f>
        <v>0</v>
      </c>
      <c r="DJ65">
        <f>DF65</f>
        <v>2855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ROW(Source!A54)</f>
        <v>54</v>
      </c>
      <c r="B66">
        <v>53860087</v>
      </c>
      <c r="C66">
        <v>53860343</v>
      </c>
      <c r="D66">
        <v>29529088</v>
      </c>
      <c r="E66">
        <v>29506949</v>
      </c>
      <c r="F66">
        <v>1</v>
      </c>
      <c r="G66">
        <v>29506949</v>
      </c>
      <c r="H66">
        <v>3</v>
      </c>
      <c r="I66" t="s">
        <v>680</v>
      </c>
      <c r="J66" t="s">
        <v>3</v>
      </c>
      <c r="K66" t="s">
        <v>681</v>
      </c>
      <c r="L66">
        <v>1344</v>
      </c>
      <c r="N66">
        <v>1008</v>
      </c>
      <c r="O66" t="s">
        <v>643</v>
      </c>
      <c r="P66" t="s">
        <v>643</v>
      </c>
      <c r="Q66">
        <v>1</v>
      </c>
      <c r="W66">
        <v>0</v>
      </c>
      <c r="X66">
        <v>-94250534</v>
      </c>
      <c r="Y66">
        <f>AT66</f>
        <v>3.64</v>
      </c>
      <c r="AA66">
        <v>1</v>
      </c>
      <c r="AB66">
        <v>0</v>
      </c>
      <c r="AC66">
        <v>0</v>
      </c>
      <c r="AD66">
        <v>0</v>
      </c>
      <c r="AE66">
        <v>1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3.64</v>
      </c>
      <c r="AU66" t="s">
        <v>3</v>
      </c>
      <c r="AV66">
        <v>0</v>
      </c>
      <c r="AW66">
        <v>1</v>
      </c>
      <c r="AX66">
        <v>-1</v>
      </c>
      <c r="AY66">
        <v>0</v>
      </c>
      <c r="AZ66">
        <v>0</v>
      </c>
      <c r="BA66" t="s">
        <v>3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ROUND(Y66*Source!I54,9)</f>
        <v>17.108000000000001</v>
      </c>
      <c r="CY66">
        <f>AA66</f>
        <v>1</v>
      </c>
      <c r="CZ66">
        <f>AE66</f>
        <v>1</v>
      </c>
      <c r="DA66">
        <f>AI66</f>
        <v>1</v>
      </c>
      <c r="DB66">
        <f>ROUND(ROUND(AT66*CZ66,2),6)</f>
        <v>3.64</v>
      </c>
      <c r="DC66">
        <f>ROUND(ROUND(AT66*AG66,2),6)</f>
        <v>0</v>
      </c>
      <c r="DD66" t="s">
        <v>3</v>
      </c>
      <c r="DE66" t="s">
        <v>3</v>
      </c>
      <c r="DF66">
        <f>ROUND(ROUND(AE66,2)*CX66,2)</f>
        <v>17.11</v>
      </c>
      <c r="DG66">
        <f t="shared" si="19"/>
        <v>0</v>
      </c>
      <c r="DH66">
        <f t="shared" si="20"/>
        <v>0</v>
      </c>
      <c r="DI66">
        <f t="shared" si="22"/>
        <v>0</v>
      </c>
      <c r="DJ66">
        <f>DF66</f>
        <v>17.11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ROW(Source!A56)</f>
        <v>56</v>
      </c>
      <c r="B67">
        <v>53860087</v>
      </c>
      <c r="C67">
        <v>53860353</v>
      </c>
      <c r="D67">
        <v>29506954</v>
      </c>
      <c r="E67">
        <v>29506949</v>
      </c>
      <c r="F67">
        <v>1</v>
      </c>
      <c r="G67">
        <v>29506949</v>
      </c>
      <c r="H67">
        <v>1</v>
      </c>
      <c r="I67" t="s">
        <v>638</v>
      </c>
      <c r="J67" t="s">
        <v>3</v>
      </c>
      <c r="K67" t="s">
        <v>639</v>
      </c>
      <c r="L67">
        <v>1191</v>
      </c>
      <c r="N67">
        <v>1013</v>
      </c>
      <c r="O67" t="s">
        <v>640</v>
      </c>
      <c r="P67" t="s">
        <v>640</v>
      </c>
      <c r="Q67">
        <v>1</v>
      </c>
      <c r="W67">
        <v>0</v>
      </c>
      <c r="X67">
        <v>476480486</v>
      </c>
      <c r="Y67">
        <f>(AT67*1.15)</f>
        <v>45.97699999999999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39.979999999999997</v>
      </c>
      <c r="AU67" t="s">
        <v>52</v>
      </c>
      <c r="AV67">
        <v>1</v>
      </c>
      <c r="AW67">
        <v>2</v>
      </c>
      <c r="AX67">
        <v>53861116</v>
      </c>
      <c r="AY67">
        <v>1</v>
      </c>
      <c r="AZ67">
        <v>0</v>
      </c>
      <c r="BA67">
        <v>95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U67">
        <f>ROUND(AT67*Source!I56*AH67*AL67,2)</f>
        <v>0</v>
      </c>
      <c r="CV67">
        <f>ROUND(Y67*Source!I56,9)</f>
        <v>216.09190000000001</v>
      </c>
      <c r="CW67">
        <v>0</v>
      </c>
      <c r="CX67">
        <f>ROUND(Y67*Source!I56,9)</f>
        <v>216.09190000000001</v>
      </c>
      <c r="CY67">
        <f>AD67</f>
        <v>0</v>
      </c>
      <c r="CZ67">
        <f>AH67</f>
        <v>0</v>
      </c>
      <c r="DA67">
        <f>AL67</f>
        <v>1</v>
      </c>
      <c r="DB67">
        <f>ROUND((ROUND(AT67*CZ67,2)*1.15),6)</f>
        <v>0</v>
      </c>
      <c r="DC67">
        <f>ROUND((ROUND(AT67*AG67,2)*1.15),6)</f>
        <v>0</v>
      </c>
      <c r="DD67" t="s">
        <v>3</v>
      </c>
      <c r="DE67" t="s">
        <v>3</v>
      </c>
      <c r="DF67">
        <f>ROUND(ROUND(AE67,2)*CX67,2)</f>
        <v>0</v>
      </c>
      <c r="DG67">
        <f t="shared" si="19"/>
        <v>0</v>
      </c>
      <c r="DH67">
        <f t="shared" si="20"/>
        <v>0</v>
      </c>
      <c r="DI67">
        <f t="shared" si="22"/>
        <v>0</v>
      </c>
      <c r="DJ67">
        <f>DI67</f>
        <v>0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ROW(Source!A56)</f>
        <v>56</v>
      </c>
      <c r="B68">
        <v>53860087</v>
      </c>
      <c r="C68">
        <v>53860353</v>
      </c>
      <c r="D68">
        <v>29580491</v>
      </c>
      <c r="E68">
        <v>1</v>
      </c>
      <c r="F68">
        <v>1</v>
      </c>
      <c r="G68">
        <v>29506949</v>
      </c>
      <c r="H68">
        <v>2</v>
      </c>
      <c r="I68" t="s">
        <v>650</v>
      </c>
      <c r="J68" t="s">
        <v>651</v>
      </c>
      <c r="K68" t="s">
        <v>652</v>
      </c>
      <c r="L68">
        <v>1368</v>
      </c>
      <c r="N68">
        <v>1011</v>
      </c>
      <c r="O68" t="s">
        <v>647</v>
      </c>
      <c r="P68" t="s">
        <v>647</v>
      </c>
      <c r="Q68">
        <v>1</v>
      </c>
      <c r="W68">
        <v>0</v>
      </c>
      <c r="X68">
        <v>-1440889904</v>
      </c>
      <c r="Y68">
        <f>(AT68*1.25)</f>
        <v>0.125</v>
      </c>
      <c r="AA68">
        <v>0</v>
      </c>
      <c r="AB68">
        <v>1029.8</v>
      </c>
      <c r="AC68">
        <v>389.36</v>
      </c>
      <c r="AD68">
        <v>0</v>
      </c>
      <c r="AE68">
        <v>0</v>
      </c>
      <c r="AF68">
        <v>83.1</v>
      </c>
      <c r="AG68">
        <v>12.62</v>
      </c>
      <c r="AH68">
        <v>0</v>
      </c>
      <c r="AI68">
        <v>1</v>
      </c>
      <c r="AJ68">
        <v>12.09</v>
      </c>
      <c r="AK68">
        <v>30.1</v>
      </c>
      <c r="AL68">
        <v>1</v>
      </c>
      <c r="AM68">
        <v>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0.1</v>
      </c>
      <c r="AU68" t="s">
        <v>51</v>
      </c>
      <c r="AV68">
        <v>0</v>
      </c>
      <c r="AW68">
        <v>2</v>
      </c>
      <c r="AX68">
        <v>53861117</v>
      </c>
      <c r="AY68">
        <v>1</v>
      </c>
      <c r="AZ68">
        <v>0</v>
      </c>
      <c r="BA68">
        <v>96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f>ROUND(Y68*Source!I56,9)</f>
        <v>0.58750000000000002</v>
      </c>
      <c r="CX68">
        <f>ROUND(Y68*Source!I56,9)</f>
        <v>0.58750000000000002</v>
      </c>
      <c r="CY68">
        <f>AB68</f>
        <v>1029.8</v>
      </c>
      <c r="CZ68">
        <f>AF68</f>
        <v>83.1</v>
      </c>
      <c r="DA68">
        <f>AJ68</f>
        <v>12.09</v>
      </c>
      <c r="DB68">
        <f>ROUND((ROUND(AT68*CZ68,2)*1.25),6)</f>
        <v>10.387499999999999</v>
      </c>
      <c r="DC68">
        <f>ROUND((ROUND(AT68*AG68,2)*1.25),6)</f>
        <v>1.575</v>
      </c>
      <c r="DD68" t="s">
        <v>3</v>
      </c>
      <c r="DE68" t="s">
        <v>3</v>
      </c>
      <c r="DF68">
        <f>ROUND(ROUND(AE68,2)*CX68,2)</f>
        <v>0</v>
      </c>
      <c r="DG68">
        <f>ROUND(ROUND(AF68*AJ68,2)*CX68,2)</f>
        <v>590.25</v>
      </c>
      <c r="DH68">
        <f>ROUND(ROUND(AG68*AK68,2)*CX68,2)</f>
        <v>223.17</v>
      </c>
      <c r="DI68">
        <f t="shared" si="22"/>
        <v>0</v>
      </c>
      <c r="DJ68">
        <f>DG68</f>
        <v>590.25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ROW(Source!A56)</f>
        <v>56</v>
      </c>
      <c r="B69">
        <v>53860087</v>
      </c>
      <c r="C69">
        <v>53860353</v>
      </c>
      <c r="D69">
        <v>29555595</v>
      </c>
      <c r="E69">
        <v>1</v>
      </c>
      <c r="F69">
        <v>1</v>
      </c>
      <c r="G69">
        <v>29506949</v>
      </c>
      <c r="H69">
        <v>3</v>
      </c>
      <c r="I69" t="s">
        <v>656</v>
      </c>
      <c r="J69" t="s">
        <v>657</v>
      </c>
      <c r="K69" t="s">
        <v>658</v>
      </c>
      <c r="L69">
        <v>1346</v>
      </c>
      <c r="N69">
        <v>1009</v>
      </c>
      <c r="O69" t="s">
        <v>58</v>
      </c>
      <c r="P69" t="s">
        <v>58</v>
      </c>
      <c r="Q69">
        <v>1</v>
      </c>
      <c r="W69">
        <v>0</v>
      </c>
      <c r="X69">
        <v>622621594</v>
      </c>
      <c r="Y69">
        <f>AT69</f>
        <v>0.31</v>
      </c>
      <c r="AA69">
        <v>53.55</v>
      </c>
      <c r="AB69">
        <v>0</v>
      </c>
      <c r="AC69">
        <v>0</v>
      </c>
      <c r="AD69">
        <v>0</v>
      </c>
      <c r="AE69">
        <v>1.61</v>
      </c>
      <c r="AF69">
        <v>0</v>
      </c>
      <c r="AG69">
        <v>0</v>
      </c>
      <c r="AH69">
        <v>0</v>
      </c>
      <c r="AI69">
        <v>33.26</v>
      </c>
      <c r="AJ69">
        <v>1</v>
      </c>
      <c r="AK69">
        <v>1</v>
      </c>
      <c r="AL69">
        <v>1</v>
      </c>
      <c r="AM69">
        <v>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0.31</v>
      </c>
      <c r="AU69" t="s">
        <v>3</v>
      </c>
      <c r="AV69">
        <v>0</v>
      </c>
      <c r="AW69">
        <v>2</v>
      </c>
      <c r="AX69">
        <v>53861118</v>
      </c>
      <c r="AY69">
        <v>1</v>
      </c>
      <c r="AZ69">
        <v>0</v>
      </c>
      <c r="BA69">
        <v>97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ROUND(Y69*Source!I56,9)</f>
        <v>1.4570000000000001</v>
      </c>
      <c r="CY69">
        <f>AA69</f>
        <v>53.55</v>
      </c>
      <c r="CZ69">
        <f>AE69</f>
        <v>1.61</v>
      </c>
      <c r="DA69">
        <f>AI69</f>
        <v>33.26</v>
      </c>
      <c r="DB69">
        <f>ROUND(ROUND(AT69*CZ69,2),6)</f>
        <v>0.5</v>
      </c>
      <c r="DC69">
        <f>ROUND(ROUND(AT69*AG69,2),6)</f>
        <v>0</v>
      </c>
      <c r="DD69" t="s">
        <v>3</v>
      </c>
      <c r="DE69" t="s">
        <v>3</v>
      </c>
      <c r="DF69">
        <f>ROUND(ROUND(AE69*AI69,2)*CX69,2)</f>
        <v>78.02</v>
      </c>
      <c r="DG69">
        <f t="shared" ref="DG69:DG74" si="23">ROUND(ROUND(AF69,2)*CX69,2)</f>
        <v>0</v>
      </c>
      <c r="DH69">
        <f t="shared" ref="DH69:DH74" si="24">ROUND(ROUND(AG69,2)*CX69,2)</f>
        <v>0</v>
      </c>
      <c r="DI69">
        <f t="shared" si="22"/>
        <v>0</v>
      </c>
      <c r="DJ69">
        <f>DF69</f>
        <v>78.02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ROW(Source!A56)</f>
        <v>56</v>
      </c>
      <c r="B70">
        <v>53860087</v>
      </c>
      <c r="C70">
        <v>53860353</v>
      </c>
      <c r="D70">
        <v>29556811</v>
      </c>
      <c r="E70">
        <v>1</v>
      </c>
      <c r="F70">
        <v>1</v>
      </c>
      <c r="G70">
        <v>29506949</v>
      </c>
      <c r="H70">
        <v>3</v>
      </c>
      <c r="I70" t="s">
        <v>659</v>
      </c>
      <c r="J70" t="s">
        <v>660</v>
      </c>
      <c r="K70" t="s">
        <v>661</v>
      </c>
      <c r="L70">
        <v>1327</v>
      </c>
      <c r="N70">
        <v>1005</v>
      </c>
      <c r="O70" t="s">
        <v>100</v>
      </c>
      <c r="P70" t="s">
        <v>100</v>
      </c>
      <c r="Q70">
        <v>1</v>
      </c>
      <c r="W70">
        <v>0</v>
      </c>
      <c r="X70">
        <v>1579706749</v>
      </c>
      <c r="Y70">
        <f>AT70</f>
        <v>0.84</v>
      </c>
      <c r="AA70">
        <v>151.84</v>
      </c>
      <c r="AB70">
        <v>0</v>
      </c>
      <c r="AC70">
        <v>0</v>
      </c>
      <c r="AD70">
        <v>0</v>
      </c>
      <c r="AE70">
        <v>104</v>
      </c>
      <c r="AF70">
        <v>0</v>
      </c>
      <c r="AG70">
        <v>0</v>
      </c>
      <c r="AH70">
        <v>0</v>
      </c>
      <c r="AI70">
        <v>1.46</v>
      </c>
      <c r="AJ70">
        <v>1</v>
      </c>
      <c r="AK70">
        <v>1</v>
      </c>
      <c r="AL70">
        <v>1</v>
      </c>
      <c r="AM70">
        <v>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0.84</v>
      </c>
      <c r="AU70" t="s">
        <v>3</v>
      </c>
      <c r="AV70">
        <v>0</v>
      </c>
      <c r="AW70">
        <v>2</v>
      </c>
      <c r="AX70">
        <v>53861119</v>
      </c>
      <c r="AY70">
        <v>1</v>
      </c>
      <c r="AZ70">
        <v>0</v>
      </c>
      <c r="BA70">
        <v>98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ROUND(Y70*Source!I56,9)</f>
        <v>3.948</v>
      </c>
      <c r="CY70">
        <f>AA70</f>
        <v>151.84</v>
      </c>
      <c r="CZ70">
        <f>AE70</f>
        <v>104</v>
      </c>
      <c r="DA70">
        <f>AI70</f>
        <v>1.46</v>
      </c>
      <c r="DB70">
        <f>ROUND(ROUND(AT70*CZ70,2),6)</f>
        <v>87.36</v>
      </c>
      <c r="DC70">
        <f>ROUND(ROUND(AT70*AG70,2),6)</f>
        <v>0</v>
      </c>
      <c r="DD70" t="s">
        <v>3</v>
      </c>
      <c r="DE70" t="s">
        <v>3</v>
      </c>
      <c r="DF70">
        <f>ROUND(ROUND(AE70*AI70,2)*CX70,2)</f>
        <v>599.46</v>
      </c>
      <c r="DG70">
        <f t="shared" si="23"/>
        <v>0</v>
      </c>
      <c r="DH70">
        <f t="shared" si="24"/>
        <v>0</v>
      </c>
      <c r="DI70">
        <f t="shared" si="22"/>
        <v>0</v>
      </c>
      <c r="DJ70">
        <f>DF70</f>
        <v>599.46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ROW(Source!A56)</f>
        <v>56</v>
      </c>
      <c r="B71">
        <v>53860087</v>
      </c>
      <c r="C71">
        <v>53860353</v>
      </c>
      <c r="D71">
        <v>29556824</v>
      </c>
      <c r="E71">
        <v>1</v>
      </c>
      <c r="F71">
        <v>1</v>
      </c>
      <c r="G71">
        <v>29506949</v>
      </c>
      <c r="H71">
        <v>3</v>
      </c>
      <c r="I71" t="s">
        <v>662</v>
      </c>
      <c r="J71" t="s">
        <v>663</v>
      </c>
      <c r="K71" t="s">
        <v>664</v>
      </c>
      <c r="L71">
        <v>1348</v>
      </c>
      <c r="N71">
        <v>1009</v>
      </c>
      <c r="O71" t="s">
        <v>75</v>
      </c>
      <c r="P71" t="s">
        <v>75</v>
      </c>
      <c r="Q71">
        <v>1000</v>
      </c>
      <c r="W71">
        <v>0</v>
      </c>
      <c r="X71">
        <v>580281819</v>
      </c>
      <c r="Y71">
        <f>AT71</f>
        <v>5.4999999999999997E-3</v>
      </c>
      <c r="AA71">
        <v>44232.91</v>
      </c>
      <c r="AB71">
        <v>0</v>
      </c>
      <c r="AC71">
        <v>0</v>
      </c>
      <c r="AD71">
        <v>0</v>
      </c>
      <c r="AE71">
        <v>13953.6</v>
      </c>
      <c r="AF71">
        <v>0</v>
      </c>
      <c r="AG71">
        <v>0</v>
      </c>
      <c r="AH71">
        <v>0</v>
      </c>
      <c r="AI71">
        <v>3.17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5.4999999999999997E-3</v>
      </c>
      <c r="AU71" t="s">
        <v>3</v>
      </c>
      <c r="AV71">
        <v>0</v>
      </c>
      <c r="AW71">
        <v>2</v>
      </c>
      <c r="AX71">
        <v>53861120</v>
      </c>
      <c r="AY71">
        <v>1</v>
      </c>
      <c r="AZ71">
        <v>0</v>
      </c>
      <c r="BA71">
        <v>99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ROUND(Y71*Source!I56,9)</f>
        <v>2.5850000000000001E-2</v>
      </c>
      <c r="CY71">
        <f>AA71</f>
        <v>44232.91</v>
      </c>
      <c r="CZ71">
        <f>AE71</f>
        <v>13953.6</v>
      </c>
      <c r="DA71">
        <f>AI71</f>
        <v>3.17</v>
      </c>
      <c r="DB71">
        <f>ROUND(ROUND(AT71*CZ71,2),6)</f>
        <v>76.739999999999995</v>
      </c>
      <c r="DC71">
        <f>ROUND(ROUND(AT71*AG71,2),6)</f>
        <v>0</v>
      </c>
      <c r="DD71" t="s">
        <v>3</v>
      </c>
      <c r="DE71" t="s">
        <v>3</v>
      </c>
      <c r="DF71">
        <f>ROUND(ROUND(AE71*AI71,2)*CX71,2)</f>
        <v>1143.42</v>
      </c>
      <c r="DG71">
        <f t="shared" si="23"/>
        <v>0</v>
      </c>
      <c r="DH71">
        <f t="shared" si="24"/>
        <v>0</v>
      </c>
      <c r="DI71">
        <f t="shared" si="22"/>
        <v>0</v>
      </c>
      <c r="DJ71">
        <f>DF71</f>
        <v>1143.42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ROW(Source!A56)</f>
        <v>56</v>
      </c>
      <c r="B72">
        <v>53860087</v>
      </c>
      <c r="C72">
        <v>53860353</v>
      </c>
      <c r="D72">
        <v>29557964</v>
      </c>
      <c r="E72">
        <v>1</v>
      </c>
      <c r="F72">
        <v>1</v>
      </c>
      <c r="G72">
        <v>29506949</v>
      </c>
      <c r="H72">
        <v>3</v>
      </c>
      <c r="I72" t="s">
        <v>56</v>
      </c>
      <c r="J72" t="s">
        <v>59</v>
      </c>
      <c r="K72" t="s">
        <v>57</v>
      </c>
      <c r="L72">
        <v>1346</v>
      </c>
      <c r="N72">
        <v>1009</v>
      </c>
      <c r="O72" t="s">
        <v>58</v>
      </c>
      <c r="P72" t="s">
        <v>58</v>
      </c>
      <c r="Q72">
        <v>1</v>
      </c>
      <c r="W72">
        <v>0</v>
      </c>
      <c r="X72">
        <v>33071459</v>
      </c>
      <c r="Y72">
        <f>AT72</f>
        <v>22</v>
      </c>
      <c r="AA72">
        <v>103.75</v>
      </c>
      <c r="AB72">
        <v>0</v>
      </c>
      <c r="AC72">
        <v>0</v>
      </c>
      <c r="AD72">
        <v>0</v>
      </c>
      <c r="AE72">
        <v>28.98</v>
      </c>
      <c r="AF72">
        <v>0</v>
      </c>
      <c r="AG72">
        <v>0</v>
      </c>
      <c r="AH72">
        <v>0</v>
      </c>
      <c r="AI72">
        <v>3.58</v>
      </c>
      <c r="AJ72">
        <v>1</v>
      </c>
      <c r="AK72">
        <v>1</v>
      </c>
      <c r="AL72">
        <v>1</v>
      </c>
      <c r="AM72">
        <v>0</v>
      </c>
      <c r="AN72">
        <v>0</v>
      </c>
      <c r="AO72">
        <v>0</v>
      </c>
      <c r="AP72">
        <v>1</v>
      </c>
      <c r="AQ72">
        <v>0</v>
      </c>
      <c r="AR72">
        <v>0</v>
      </c>
      <c r="AS72" t="s">
        <v>3</v>
      </c>
      <c r="AT72">
        <v>22</v>
      </c>
      <c r="AU72" t="s">
        <v>3</v>
      </c>
      <c r="AV72">
        <v>0</v>
      </c>
      <c r="AW72">
        <v>1</v>
      </c>
      <c r="AX72">
        <v>-1</v>
      </c>
      <c r="AY72">
        <v>0</v>
      </c>
      <c r="AZ72">
        <v>0</v>
      </c>
      <c r="BA72" t="s">
        <v>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ROUND(Y72*Source!I56,9)</f>
        <v>103.4</v>
      </c>
      <c r="CY72">
        <f>AA72</f>
        <v>103.75</v>
      </c>
      <c r="CZ72">
        <f>AE72</f>
        <v>28.98</v>
      </c>
      <c r="DA72">
        <f>AI72</f>
        <v>3.58</v>
      </c>
      <c r="DB72">
        <f>ROUND(ROUND(AT72*CZ72,2),6)</f>
        <v>637.55999999999995</v>
      </c>
      <c r="DC72">
        <f>ROUND(ROUND(AT72*AG72,2),6)</f>
        <v>0</v>
      </c>
      <c r="DD72" t="s">
        <v>3</v>
      </c>
      <c r="DE72" t="s">
        <v>3</v>
      </c>
      <c r="DF72">
        <f>ROUND(ROUND(AE72*AI72,2)*CX72,2)</f>
        <v>10727.75</v>
      </c>
      <c r="DG72">
        <f t="shared" si="23"/>
        <v>0</v>
      </c>
      <c r="DH72">
        <f t="shared" si="24"/>
        <v>0</v>
      </c>
      <c r="DI72">
        <f t="shared" si="22"/>
        <v>0</v>
      </c>
      <c r="DJ72">
        <f>DF72</f>
        <v>10727.75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ROW(Source!A56)</f>
        <v>56</v>
      </c>
      <c r="B73">
        <v>53860087</v>
      </c>
      <c r="C73">
        <v>53860353</v>
      </c>
      <c r="D73">
        <v>29558996</v>
      </c>
      <c r="E73">
        <v>1</v>
      </c>
      <c r="F73">
        <v>1</v>
      </c>
      <c r="G73">
        <v>29506949</v>
      </c>
      <c r="H73">
        <v>3</v>
      </c>
      <c r="I73" t="s">
        <v>89</v>
      </c>
      <c r="J73" t="s">
        <v>90</v>
      </c>
      <c r="K73" t="s">
        <v>976</v>
      </c>
      <c r="L73">
        <v>1346</v>
      </c>
      <c r="N73">
        <v>1009</v>
      </c>
      <c r="O73" t="s">
        <v>58</v>
      </c>
      <c r="P73" t="s">
        <v>58</v>
      </c>
      <c r="Q73">
        <v>1</v>
      </c>
      <c r="W73">
        <v>0</v>
      </c>
      <c r="X73">
        <v>-1515598087</v>
      </c>
      <c r="Y73">
        <f>AT73</f>
        <v>33</v>
      </c>
      <c r="AA73">
        <v>513.11</v>
      </c>
      <c r="AB73">
        <v>0</v>
      </c>
      <c r="AC73">
        <v>0</v>
      </c>
      <c r="AD73">
        <v>0</v>
      </c>
      <c r="AE73">
        <v>108.25</v>
      </c>
      <c r="AF73">
        <v>0</v>
      </c>
      <c r="AG73">
        <v>0</v>
      </c>
      <c r="AH73">
        <v>0</v>
      </c>
      <c r="AI73">
        <v>4.74</v>
      </c>
      <c r="AJ73">
        <v>1</v>
      </c>
      <c r="AK73">
        <v>1</v>
      </c>
      <c r="AL73">
        <v>1</v>
      </c>
      <c r="AM73">
        <v>0</v>
      </c>
      <c r="AN73">
        <v>0</v>
      </c>
      <c r="AO73">
        <v>0</v>
      </c>
      <c r="AP73">
        <v>1</v>
      </c>
      <c r="AQ73">
        <v>0</v>
      </c>
      <c r="AR73">
        <v>0</v>
      </c>
      <c r="AS73" t="s">
        <v>3</v>
      </c>
      <c r="AT73">
        <v>33</v>
      </c>
      <c r="AU73" t="s">
        <v>3</v>
      </c>
      <c r="AV73">
        <v>0</v>
      </c>
      <c r="AW73">
        <v>1</v>
      </c>
      <c r="AX73">
        <v>-1</v>
      </c>
      <c r="AY73">
        <v>0</v>
      </c>
      <c r="AZ73">
        <v>0</v>
      </c>
      <c r="BA73" t="s">
        <v>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ROUND(Y73*Source!I56,9)</f>
        <v>155.1</v>
      </c>
      <c r="CY73">
        <f>AA73</f>
        <v>513.11</v>
      </c>
      <c r="CZ73">
        <f>AE73</f>
        <v>108.25</v>
      </c>
      <c r="DA73">
        <f>AI73</f>
        <v>4.74</v>
      </c>
      <c r="DB73">
        <f>ROUND(ROUND(AT73*CZ73,2),6)</f>
        <v>3572.25</v>
      </c>
      <c r="DC73">
        <f>ROUND(ROUND(AT73*AG73,2),6)</f>
        <v>0</v>
      </c>
      <c r="DD73" t="s">
        <v>3</v>
      </c>
      <c r="DE73" t="s">
        <v>3</v>
      </c>
      <c r="DF73">
        <f>ROUND(ROUND(AE73*AI73,2)*CX73,2)</f>
        <v>79583.360000000001</v>
      </c>
      <c r="DG73">
        <f t="shared" si="23"/>
        <v>0</v>
      </c>
      <c r="DH73">
        <f t="shared" si="24"/>
        <v>0</v>
      </c>
      <c r="DI73">
        <f t="shared" si="22"/>
        <v>0</v>
      </c>
      <c r="DJ73">
        <f>DF73</f>
        <v>79583.360000000001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ROW(Source!A59)</f>
        <v>59</v>
      </c>
      <c r="B74">
        <v>53860087</v>
      </c>
      <c r="C74">
        <v>53860370</v>
      </c>
      <c r="D74">
        <v>29506954</v>
      </c>
      <c r="E74">
        <v>29506949</v>
      </c>
      <c r="F74">
        <v>1</v>
      </c>
      <c r="G74">
        <v>29506949</v>
      </c>
      <c r="H74">
        <v>1</v>
      </c>
      <c r="I74" t="s">
        <v>638</v>
      </c>
      <c r="J74" t="s">
        <v>3</v>
      </c>
      <c r="K74" t="s">
        <v>639</v>
      </c>
      <c r="L74">
        <v>1191</v>
      </c>
      <c r="N74">
        <v>1013</v>
      </c>
      <c r="O74" t="s">
        <v>640</v>
      </c>
      <c r="P74" t="s">
        <v>640</v>
      </c>
      <c r="Q74">
        <v>1</v>
      </c>
      <c r="W74">
        <v>0</v>
      </c>
      <c r="X74">
        <v>476480486</v>
      </c>
      <c r="Y74">
        <f>(AT74*1.15)</f>
        <v>26.461500000000001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23.01</v>
      </c>
      <c r="AU74" t="s">
        <v>52</v>
      </c>
      <c r="AV74">
        <v>1</v>
      </c>
      <c r="AW74">
        <v>2</v>
      </c>
      <c r="AX74">
        <v>53861123</v>
      </c>
      <c r="AY74">
        <v>1</v>
      </c>
      <c r="AZ74">
        <v>0</v>
      </c>
      <c r="BA74">
        <v>102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U74">
        <f>ROUND(AT74*Source!I59*AH74*AL74,2)</f>
        <v>0</v>
      </c>
      <c r="CV74">
        <f>ROUND(Y74*Source!I59,9)</f>
        <v>52.923000000000002</v>
      </c>
      <c r="CW74">
        <v>0</v>
      </c>
      <c r="CX74">
        <f>ROUND(Y74*Source!I59,9)</f>
        <v>52.923000000000002</v>
      </c>
      <c r="CY74">
        <f>AD74</f>
        <v>0</v>
      </c>
      <c r="CZ74">
        <f>AH74</f>
        <v>0</v>
      </c>
      <c r="DA74">
        <f>AL74</f>
        <v>1</v>
      </c>
      <c r="DB74">
        <f>ROUND((ROUND(AT74*CZ74,2)*1.15),6)</f>
        <v>0</v>
      </c>
      <c r="DC74">
        <f>ROUND((ROUND(AT74*AG74,2)*1.15),6)</f>
        <v>0</v>
      </c>
      <c r="DD74" t="s">
        <v>3</v>
      </c>
      <c r="DE74" t="s">
        <v>3</v>
      </c>
      <c r="DF74">
        <f>ROUND(ROUND(AE74,2)*CX74,2)</f>
        <v>0</v>
      </c>
      <c r="DG74">
        <f t="shared" si="23"/>
        <v>0</v>
      </c>
      <c r="DH74">
        <f t="shared" si="24"/>
        <v>0</v>
      </c>
      <c r="DI74">
        <f t="shared" si="22"/>
        <v>0</v>
      </c>
      <c r="DJ74">
        <f>DI74</f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ROW(Source!A59)</f>
        <v>59</v>
      </c>
      <c r="B75">
        <v>53860087</v>
      </c>
      <c r="C75">
        <v>53860370</v>
      </c>
      <c r="D75">
        <v>29580491</v>
      </c>
      <c r="E75">
        <v>1</v>
      </c>
      <c r="F75">
        <v>1</v>
      </c>
      <c r="G75">
        <v>29506949</v>
      </c>
      <c r="H75">
        <v>2</v>
      </c>
      <c r="I75" t="s">
        <v>650</v>
      </c>
      <c r="J75" t="s">
        <v>651</v>
      </c>
      <c r="K75" t="s">
        <v>652</v>
      </c>
      <c r="L75">
        <v>1368</v>
      </c>
      <c r="N75">
        <v>1011</v>
      </c>
      <c r="O75" t="s">
        <v>647</v>
      </c>
      <c r="P75" t="s">
        <v>647</v>
      </c>
      <c r="Q75">
        <v>1</v>
      </c>
      <c r="W75">
        <v>0</v>
      </c>
      <c r="X75">
        <v>-1440889904</v>
      </c>
      <c r="Y75">
        <f>(AT75*1.25)</f>
        <v>1.2500000000000001E-2</v>
      </c>
      <c r="AA75">
        <v>0</v>
      </c>
      <c r="AB75">
        <v>1029.8</v>
      </c>
      <c r="AC75">
        <v>389.36</v>
      </c>
      <c r="AD75">
        <v>0</v>
      </c>
      <c r="AE75">
        <v>0</v>
      </c>
      <c r="AF75">
        <v>83.1</v>
      </c>
      <c r="AG75">
        <v>12.62</v>
      </c>
      <c r="AH75">
        <v>0</v>
      </c>
      <c r="AI75">
        <v>1</v>
      </c>
      <c r="AJ75">
        <v>12.09</v>
      </c>
      <c r="AK75">
        <v>30.1</v>
      </c>
      <c r="AL75">
        <v>1</v>
      </c>
      <c r="AM75">
        <v>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0.01</v>
      </c>
      <c r="AU75" t="s">
        <v>51</v>
      </c>
      <c r="AV75">
        <v>0</v>
      </c>
      <c r="AW75">
        <v>2</v>
      </c>
      <c r="AX75">
        <v>53861124</v>
      </c>
      <c r="AY75">
        <v>1</v>
      </c>
      <c r="AZ75">
        <v>0</v>
      </c>
      <c r="BA75">
        <v>103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f>ROUND(Y75*Source!I59,9)</f>
        <v>2.5000000000000001E-2</v>
      </c>
      <c r="CX75">
        <f>ROUND(Y75*Source!I59,9)</f>
        <v>2.5000000000000001E-2</v>
      </c>
      <c r="CY75">
        <f>AB75</f>
        <v>1029.8</v>
      </c>
      <c r="CZ75">
        <f>AF75</f>
        <v>83.1</v>
      </c>
      <c r="DA75">
        <f>AJ75</f>
        <v>12.09</v>
      </c>
      <c r="DB75">
        <f>ROUND((ROUND(AT75*CZ75,2)*1.25),6)</f>
        <v>1.0375000000000001</v>
      </c>
      <c r="DC75">
        <f>ROUND((ROUND(AT75*AG75,2)*1.25),6)</f>
        <v>0.16250000000000001</v>
      </c>
      <c r="DD75" t="s">
        <v>3</v>
      </c>
      <c r="DE75" t="s">
        <v>3</v>
      </c>
      <c r="DF75">
        <f>ROUND(ROUND(AE75,2)*CX75,2)</f>
        <v>0</v>
      </c>
      <c r="DG75">
        <f>ROUND(ROUND(AF75*AJ75,2)*CX75,2)</f>
        <v>25.12</v>
      </c>
      <c r="DH75">
        <f>ROUND(ROUND(AG75*AK75,2)*CX75,2)</f>
        <v>9.5</v>
      </c>
      <c r="DI75">
        <f t="shared" si="22"/>
        <v>0</v>
      </c>
      <c r="DJ75">
        <f>DG75</f>
        <v>25.12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ROW(Source!A59)</f>
        <v>59</v>
      </c>
      <c r="B76">
        <v>53860087</v>
      </c>
      <c r="C76">
        <v>53860370</v>
      </c>
      <c r="D76">
        <v>29558582</v>
      </c>
      <c r="E76">
        <v>1</v>
      </c>
      <c r="F76">
        <v>1</v>
      </c>
      <c r="G76">
        <v>29506949</v>
      </c>
      <c r="H76">
        <v>3</v>
      </c>
      <c r="I76" t="s">
        <v>156</v>
      </c>
      <c r="J76" t="s">
        <v>158</v>
      </c>
      <c r="K76" t="s">
        <v>157</v>
      </c>
      <c r="L76">
        <v>1301</v>
      </c>
      <c r="N76">
        <v>1003</v>
      </c>
      <c r="O76" t="s">
        <v>125</v>
      </c>
      <c r="P76" t="s">
        <v>125</v>
      </c>
      <c r="Q76">
        <v>1</v>
      </c>
      <c r="W76">
        <v>0</v>
      </c>
      <c r="X76">
        <v>728433713</v>
      </c>
      <c r="Y76">
        <f t="shared" ref="Y76:Y81" si="25">AT76</f>
        <v>105</v>
      </c>
      <c r="AA76">
        <v>10.81</v>
      </c>
      <c r="AB76">
        <v>0</v>
      </c>
      <c r="AC76">
        <v>0</v>
      </c>
      <c r="AD76">
        <v>0</v>
      </c>
      <c r="AE76">
        <v>1.91</v>
      </c>
      <c r="AF76">
        <v>0</v>
      </c>
      <c r="AG76">
        <v>0</v>
      </c>
      <c r="AH76">
        <v>0</v>
      </c>
      <c r="AI76">
        <v>5.66</v>
      </c>
      <c r="AJ76">
        <v>1</v>
      </c>
      <c r="AK76">
        <v>1</v>
      </c>
      <c r="AL76">
        <v>1</v>
      </c>
      <c r="AM76">
        <v>0</v>
      </c>
      <c r="AN76">
        <v>0</v>
      </c>
      <c r="AO76">
        <v>0</v>
      </c>
      <c r="AP76">
        <v>1</v>
      </c>
      <c r="AQ76">
        <v>0</v>
      </c>
      <c r="AR76">
        <v>0</v>
      </c>
      <c r="AS76" t="s">
        <v>3</v>
      </c>
      <c r="AT76">
        <v>105</v>
      </c>
      <c r="AU76" t="s">
        <v>3</v>
      </c>
      <c r="AV76">
        <v>0</v>
      </c>
      <c r="AW76">
        <v>1</v>
      </c>
      <c r="AX76">
        <v>-1</v>
      </c>
      <c r="AY76">
        <v>0</v>
      </c>
      <c r="AZ76">
        <v>0</v>
      </c>
      <c r="BA76" t="s">
        <v>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ROUND(Y76*Source!I59,9)</f>
        <v>210</v>
      </c>
      <c r="CY76">
        <f>AA76</f>
        <v>10.81</v>
      </c>
      <c r="CZ76">
        <f>AE76</f>
        <v>1.91</v>
      </c>
      <c r="DA76">
        <f>AI76</f>
        <v>5.66</v>
      </c>
      <c r="DB76">
        <f t="shared" ref="DB76:DB81" si="26">ROUND(ROUND(AT76*CZ76,2),6)</f>
        <v>200.55</v>
      </c>
      <c r="DC76">
        <f t="shared" ref="DC76:DC81" si="27">ROUND(ROUND(AT76*AG76,2),6)</f>
        <v>0</v>
      </c>
      <c r="DD76" t="s">
        <v>3</v>
      </c>
      <c r="DE76" t="s">
        <v>3</v>
      </c>
      <c r="DF76">
        <f>ROUND(ROUND(AE76*AI76,2)*CX76,2)</f>
        <v>2270.1</v>
      </c>
      <c r="DG76">
        <f t="shared" ref="DG76:DG82" si="28">ROUND(ROUND(AF76,2)*CX76,2)</f>
        <v>0</v>
      </c>
      <c r="DH76">
        <f t="shared" ref="DH76:DH82" si="29">ROUND(ROUND(AG76,2)*CX76,2)</f>
        <v>0</v>
      </c>
      <c r="DI76">
        <f t="shared" si="22"/>
        <v>0</v>
      </c>
      <c r="DJ76">
        <f>DF76</f>
        <v>2270.1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ROW(Source!A59)</f>
        <v>59</v>
      </c>
      <c r="B77">
        <v>53860087</v>
      </c>
      <c r="C77">
        <v>53860370</v>
      </c>
      <c r="D77">
        <v>29558585</v>
      </c>
      <c r="E77">
        <v>1</v>
      </c>
      <c r="F77">
        <v>1</v>
      </c>
      <c r="G77">
        <v>29506949</v>
      </c>
      <c r="H77">
        <v>3</v>
      </c>
      <c r="I77" t="s">
        <v>152</v>
      </c>
      <c r="J77" t="s">
        <v>155</v>
      </c>
      <c r="K77" t="s">
        <v>153</v>
      </c>
      <c r="L77">
        <v>1296</v>
      </c>
      <c r="N77">
        <v>1002</v>
      </c>
      <c r="O77" t="s">
        <v>154</v>
      </c>
      <c r="P77" t="s">
        <v>154</v>
      </c>
      <c r="Q77">
        <v>1</v>
      </c>
      <c r="W77">
        <v>0</v>
      </c>
      <c r="X77">
        <v>-365809417</v>
      </c>
      <c r="Y77">
        <f t="shared" si="25"/>
        <v>3.76</v>
      </c>
      <c r="AA77">
        <v>255.03</v>
      </c>
      <c r="AB77">
        <v>0</v>
      </c>
      <c r="AC77">
        <v>0</v>
      </c>
      <c r="AD77">
        <v>0</v>
      </c>
      <c r="AE77">
        <v>53.02</v>
      </c>
      <c r="AF77">
        <v>0</v>
      </c>
      <c r="AG77">
        <v>0</v>
      </c>
      <c r="AH77">
        <v>0</v>
      </c>
      <c r="AI77">
        <v>4.8099999999999996</v>
      </c>
      <c r="AJ77">
        <v>1</v>
      </c>
      <c r="AK77">
        <v>1</v>
      </c>
      <c r="AL77">
        <v>1</v>
      </c>
      <c r="AM77">
        <v>0</v>
      </c>
      <c r="AN77">
        <v>0</v>
      </c>
      <c r="AO77">
        <v>0</v>
      </c>
      <c r="AP77">
        <v>1</v>
      </c>
      <c r="AQ77">
        <v>0</v>
      </c>
      <c r="AR77">
        <v>0</v>
      </c>
      <c r="AS77" t="s">
        <v>3</v>
      </c>
      <c r="AT77">
        <v>3.76</v>
      </c>
      <c r="AU77" t="s">
        <v>3</v>
      </c>
      <c r="AV77">
        <v>0</v>
      </c>
      <c r="AW77">
        <v>1</v>
      </c>
      <c r="AX77">
        <v>-1</v>
      </c>
      <c r="AY77">
        <v>0</v>
      </c>
      <c r="AZ77">
        <v>0</v>
      </c>
      <c r="BA77" t="s">
        <v>3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ROUND(Y77*Source!I59,9)</f>
        <v>7.52</v>
      </c>
      <c r="CY77">
        <f>AA77</f>
        <v>255.03</v>
      </c>
      <c r="CZ77">
        <f>AE77</f>
        <v>53.02</v>
      </c>
      <c r="DA77">
        <f>AI77</f>
        <v>4.8099999999999996</v>
      </c>
      <c r="DB77">
        <f t="shared" si="26"/>
        <v>199.36</v>
      </c>
      <c r="DC77">
        <f t="shared" si="27"/>
        <v>0</v>
      </c>
      <c r="DD77" t="s">
        <v>3</v>
      </c>
      <c r="DE77" t="s">
        <v>3</v>
      </c>
      <c r="DF77">
        <f>ROUND(ROUND(AE77*AI77,2)*CX77,2)</f>
        <v>1917.83</v>
      </c>
      <c r="DG77">
        <f t="shared" si="28"/>
        <v>0</v>
      </c>
      <c r="DH77">
        <f t="shared" si="29"/>
        <v>0</v>
      </c>
      <c r="DI77">
        <f t="shared" si="22"/>
        <v>0</v>
      </c>
      <c r="DJ77">
        <f>DF77</f>
        <v>1917.83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ROW(Source!A99)</f>
        <v>99</v>
      </c>
      <c r="B78">
        <v>53860087</v>
      </c>
      <c r="C78">
        <v>53860439</v>
      </c>
      <c r="D78">
        <v>29506954</v>
      </c>
      <c r="E78">
        <v>29506949</v>
      </c>
      <c r="F78">
        <v>1</v>
      </c>
      <c r="G78">
        <v>29506949</v>
      </c>
      <c r="H78">
        <v>1</v>
      </c>
      <c r="I78" t="s">
        <v>638</v>
      </c>
      <c r="J78" t="s">
        <v>3</v>
      </c>
      <c r="K78" t="s">
        <v>639</v>
      </c>
      <c r="L78">
        <v>1191</v>
      </c>
      <c r="N78">
        <v>1013</v>
      </c>
      <c r="O78" t="s">
        <v>640</v>
      </c>
      <c r="P78" t="s">
        <v>640</v>
      </c>
      <c r="Q78">
        <v>1</v>
      </c>
      <c r="W78">
        <v>0</v>
      </c>
      <c r="X78">
        <v>476480486</v>
      </c>
      <c r="Y78">
        <f t="shared" si="25"/>
        <v>49.1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49.1</v>
      </c>
      <c r="AU78" t="s">
        <v>3</v>
      </c>
      <c r="AV78">
        <v>1</v>
      </c>
      <c r="AW78">
        <v>2</v>
      </c>
      <c r="AX78">
        <v>53861129</v>
      </c>
      <c r="AY78">
        <v>1</v>
      </c>
      <c r="AZ78">
        <v>0</v>
      </c>
      <c r="BA78">
        <v>108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U78">
        <f>ROUND(AT78*Source!I99*AH78*AL78,2)</f>
        <v>0</v>
      </c>
      <c r="CV78">
        <f>ROUND(Y78*Source!I99,9)</f>
        <v>44.19</v>
      </c>
      <c r="CW78">
        <v>0</v>
      </c>
      <c r="CX78">
        <f>ROUND(Y78*Source!I99,9)</f>
        <v>44.19</v>
      </c>
      <c r="CY78">
        <f>AD78</f>
        <v>0</v>
      </c>
      <c r="CZ78">
        <f>AH78</f>
        <v>0</v>
      </c>
      <c r="DA78">
        <f>AL78</f>
        <v>1</v>
      </c>
      <c r="DB78">
        <f t="shared" si="26"/>
        <v>0</v>
      </c>
      <c r="DC78">
        <f t="shared" si="27"/>
        <v>0</v>
      </c>
      <c r="DD78" t="s">
        <v>3</v>
      </c>
      <c r="DE78" t="s">
        <v>3</v>
      </c>
      <c r="DF78">
        <f t="shared" ref="DF78:DF87" si="30">ROUND(ROUND(AE78,2)*CX78,2)</f>
        <v>0</v>
      </c>
      <c r="DG78">
        <f t="shared" si="28"/>
        <v>0</v>
      </c>
      <c r="DH78">
        <f t="shared" si="29"/>
        <v>0</v>
      </c>
      <c r="DI78">
        <f t="shared" si="22"/>
        <v>0</v>
      </c>
      <c r="DJ78">
        <f>DI78</f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ROW(Source!A99)</f>
        <v>99</v>
      </c>
      <c r="B79">
        <v>53860087</v>
      </c>
      <c r="C79">
        <v>53860439</v>
      </c>
      <c r="D79">
        <v>29529074</v>
      </c>
      <c r="E79">
        <v>29506949</v>
      </c>
      <c r="F79">
        <v>1</v>
      </c>
      <c r="G79">
        <v>29506949</v>
      </c>
      <c r="H79">
        <v>3</v>
      </c>
      <c r="I79" t="s">
        <v>648</v>
      </c>
      <c r="J79" t="s">
        <v>3</v>
      </c>
      <c r="K79" t="s">
        <v>649</v>
      </c>
      <c r="L79">
        <v>1348</v>
      </c>
      <c r="N79">
        <v>1009</v>
      </c>
      <c r="O79" t="s">
        <v>75</v>
      </c>
      <c r="P79" t="s">
        <v>75</v>
      </c>
      <c r="Q79">
        <v>1000</v>
      </c>
      <c r="W79">
        <v>0</v>
      </c>
      <c r="X79">
        <v>1489638031</v>
      </c>
      <c r="Y79">
        <f t="shared" si="25"/>
        <v>4.5999999999999996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4.5999999999999996</v>
      </c>
      <c r="AU79" t="s">
        <v>3</v>
      </c>
      <c r="AV79">
        <v>0</v>
      </c>
      <c r="AW79">
        <v>2</v>
      </c>
      <c r="AX79">
        <v>53861130</v>
      </c>
      <c r="AY79">
        <v>1</v>
      </c>
      <c r="AZ79">
        <v>0</v>
      </c>
      <c r="BA79">
        <v>109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ROUND(Y79*Source!I99,9)</f>
        <v>4.1399999999999997</v>
      </c>
      <c r="CY79">
        <f>AA79</f>
        <v>0</v>
      </c>
      <c r="CZ79">
        <f>AE79</f>
        <v>0</v>
      </c>
      <c r="DA79">
        <f>AI79</f>
        <v>1</v>
      </c>
      <c r="DB79">
        <f t="shared" si="26"/>
        <v>0</v>
      </c>
      <c r="DC79">
        <f t="shared" si="27"/>
        <v>0</v>
      </c>
      <c r="DD79" t="s">
        <v>3</v>
      </c>
      <c r="DE79" t="s">
        <v>3</v>
      </c>
      <c r="DF79">
        <f t="shared" si="30"/>
        <v>0</v>
      </c>
      <c r="DG79">
        <f t="shared" si="28"/>
        <v>0</v>
      </c>
      <c r="DH79">
        <f t="shared" si="29"/>
        <v>0</v>
      </c>
      <c r="DI79">
        <f t="shared" si="22"/>
        <v>0</v>
      </c>
      <c r="DJ79">
        <f>DF79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ROW(Source!A100)</f>
        <v>100</v>
      </c>
      <c r="B80">
        <v>53860087</v>
      </c>
      <c r="C80">
        <v>53860444</v>
      </c>
      <c r="D80">
        <v>29506954</v>
      </c>
      <c r="E80">
        <v>29506949</v>
      </c>
      <c r="F80">
        <v>1</v>
      </c>
      <c r="G80">
        <v>29506949</v>
      </c>
      <c r="H80">
        <v>1</v>
      </c>
      <c r="I80" t="s">
        <v>638</v>
      </c>
      <c r="J80" t="s">
        <v>3</v>
      </c>
      <c r="K80" t="s">
        <v>639</v>
      </c>
      <c r="L80">
        <v>1191</v>
      </c>
      <c r="N80">
        <v>1013</v>
      </c>
      <c r="O80" t="s">
        <v>640</v>
      </c>
      <c r="P80" t="s">
        <v>640</v>
      </c>
      <c r="Q80">
        <v>1</v>
      </c>
      <c r="W80">
        <v>0</v>
      </c>
      <c r="X80">
        <v>476480486</v>
      </c>
      <c r="Y80">
        <f t="shared" si="25"/>
        <v>11.7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11.7</v>
      </c>
      <c r="AU80" t="s">
        <v>3</v>
      </c>
      <c r="AV80">
        <v>1</v>
      </c>
      <c r="AW80">
        <v>2</v>
      </c>
      <c r="AX80">
        <v>53861131</v>
      </c>
      <c r="AY80">
        <v>1</v>
      </c>
      <c r="AZ80">
        <v>0</v>
      </c>
      <c r="BA80">
        <v>110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U80">
        <f>ROUND(AT80*Source!I100*AH80*AL80,2)</f>
        <v>0</v>
      </c>
      <c r="CV80">
        <f>ROUND(Y80*Source!I100,9)</f>
        <v>6.4349999999999996</v>
      </c>
      <c r="CW80">
        <v>0</v>
      </c>
      <c r="CX80">
        <f>ROUND(Y80*Source!I100,9)</f>
        <v>6.4349999999999996</v>
      </c>
      <c r="CY80">
        <f>AD80</f>
        <v>0</v>
      </c>
      <c r="CZ80">
        <f>AH80</f>
        <v>0</v>
      </c>
      <c r="DA80">
        <f>AL80</f>
        <v>1</v>
      </c>
      <c r="DB80">
        <f t="shared" si="26"/>
        <v>0</v>
      </c>
      <c r="DC80">
        <f t="shared" si="27"/>
        <v>0</v>
      </c>
      <c r="DD80" t="s">
        <v>3</v>
      </c>
      <c r="DE80" t="s">
        <v>3</v>
      </c>
      <c r="DF80">
        <f t="shared" si="30"/>
        <v>0</v>
      </c>
      <c r="DG80">
        <f t="shared" si="28"/>
        <v>0</v>
      </c>
      <c r="DH80">
        <f t="shared" si="29"/>
        <v>0</v>
      </c>
      <c r="DI80">
        <f t="shared" si="22"/>
        <v>0</v>
      </c>
      <c r="DJ80">
        <f>DI80</f>
        <v>0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ROW(Source!A100)</f>
        <v>100</v>
      </c>
      <c r="B81">
        <v>53860087</v>
      </c>
      <c r="C81">
        <v>53860444</v>
      </c>
      <c r="D81">
        <v>29529074</v>
      </c>
      <c r="E81">
        <v>29506949</v>
      </c>
      <c r="F81">
        <v>1</v>
      </c>
      <c r="G81">
        <v>29506949</v>
      </c>
      <c r="H81">
        <v>3</v>
      </c>
      <c r="I81" t="s">
        <v>648</v>
      </c>
      <c r="J81" t="s">
        <v>3</v>
      </c>
      <c r="K81" t="s">
        <v>649</v>
      </c>
      <c r="L81">
        <v>1348</v>
      </c>
      <c r="N81">
        <v>1009</v>
      </c>
      <c r="O81" t="s">
        <v>75</v>
      </c>
      <c r="P81" t="s">
        <v>75</v>
      </c>
      <c r="Q81">
        <v>1000</v>
      </c>
      <c r="W81">
        <v>0</v>
      </c>
      <c r="X81">
        <v>1489638031</v>
      </c>
      <c r="Y81">
        <f t="shared" si="25"/>
        <v>0.03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0.03</v>
      </c>
      <c r="AU81" t="s">
        <v>3</v>
      </c>
      <c r="AV81">
        <v>0</v>
      </c>
      <c r="AW81">
        <v>2</v>
      </c>
      <c r="AX81">
        <v>53861132</v>
      </c>
      <c r="AY81">
        <v>1</v>
      </c>
      <c r="AZ81">
        <v>0</v>
      </c>
      <c r="BA81">
        <v>111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ROUND(Y81*Source!I100,9)</f>
        <v>1.6500000000000001E-2</v>
      </c>
      <c r="CY81">
        <f>AA81</f>
        <v>0</v>
      </c>
      <c r="CZ81">
        <f>AE81</f>
        <v>0</v>
      </c>
      <c r="DA81">
        <f>AI81</f>
        <v>1</v>
      </c>
      <c r="DB81">
        <f t="shared" si="26"/>
        <v>0</v>
      </c>
      <c r="DC81">
        <f t="shared" si="27"/>
        <v>0</v>
      </c>
      <c r="DD81" t="s">
        <v>3</v>
      </c>
      <c r="DE81" t="s">
        <v>3</v>
      </c>
      <c r="DF81">
        <f t="shared" si="30"/>
        <v>0</v>
      </c>
      <c r="DG81">
        <f t="shared" si="28"/>
        <v>0</v>
      </c>
      <c r="DH81">
        <f t="shared" si="29"/>
        <v>0</v>
      </c>
      <c r="DI81">
        <f t="shared" si="22"/>
        <v>0</v>
      </c>
      <c r="DJ81">
        <f>DF81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ROW(Source!A102)</f>
        <v>102</v>
      </c>
      <c r="B82">
        <v>53860087</v>
      </c>
      <c r="C82">
        <v>53860450</v>
      </c>
      <c r="D82">
        <v>29506954</v>
      </c>
      <c r="E82">
        <v>29506949</v>
      </c>
      <c r="F82">
        <v>1</v>
      </c>
      <c r="G82">
        <v>29506949</v>
      </c>
      <c r="H82">
        <v>1</v>
      </c>
      <c r="I82" t="s">
        <v>638</v>
      </c>
      <c r="J82" t="s">
        <v>3</v>
      </c>
      <c r="K82" t="s">
        <v>639</v>
      </c>
      <c r="L82">
        <v>1191</v>
      </c>
      <c r="N82">
        <v>1013</v>
      </c>
      <c r="O82" t="s">
        <v>640</v>
      </c>
      <c r="P82" t="s">
        <v>640</v>
      </c>
      <c r="Q82">
        <v>1</v>
      </c>
      <c r="W82">
        <v>0</v>
      </c>
      <c r="X82">
        <v>476480486</v>
      </c>
      <c r="Y82">
        <f t="shared" ref="Y82:Y87" si="31">(AT82*0.8)</f>
        <v>72.88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91.1</v>
      </c>
      <c r="AU82" t="s">
        <v>36</v>
      </c>
      <c r="AV82">
        <v>1</v>
      </c>
      <c r="AW82">
        <v>2</v>
      </c>
      <c r="AX82">
        <v>53861152</v>
      </c>
      <c r="AY82">
        <v>1</v>
      </c>
      <c r="AZ82">
        <v>0</v>
      </c>
      <c r="BA82">
        <v>131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U82">
        <f>ROUND(AT82*Source!I102*AH82*AL82,2)</f>
        <v>0</v>
      </c>
      <c r="CV82">
        <f>ROUND(Y82*Source!I102,9)</f>
        <v>273.3</v>
      </c>
      <c r="CW82">
        <v>0</v>
      </c>
      <c r="CX82">
        <f>ROUND(Y82*Source!I102,9)</f>
        <v>273.3</v>
      </c>
      <c r="CY82">
        <f>AD82</f>
        <v>0</v>
      </c>
      <c r="CZ82">
        <f>AH82</f>
        <v>0</v>
      </c>
      <c r="DA82">
        <f>AL82</f>
        <v>1</v>
      </c>
      <c r="DB82">
        <f t="shared" ref="DB82:DB87" si="32">ROUND((ROUND(AT82*CZ82,2)*0.8),6)</f>
        <v>0</v>
      </c>
      <c r="DC82">
        <f t="shared" ref="DC82:DC87" si="33">ROUND((ROUND(AT82*AG82,2)*0.8),6)</f>
        <v>0</v>
      </c>
      <c r="DD82" t="s">
        <v>3</v>
      </c>
      <c r="DE82" t="s">
        <v>3</v>
      </c>
      <c r="DF82">
        <f t="shared" si="30"/>
        <v>0</v>
      </c>
      <c r="DG82">
        <f t="shared" si="28"/>
        <v>0</v>
      </c>
      <c r="DH82">
        <f t="shared" si="29"/>
        <v>0</v>
      </c>
      <c r="DI82">
        <f t="shared" si="22"/>
        <v>0</v>
      </c>
      <c r="DJ82">
        <f>DI82</f>
        <v>0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ROW(Source!A102)</f>
        <v>102</v>
      </c>
      <c r="B83">
        <v>53860087</v>
      </c>
      <c r="C83">
        <v>53860450</v>
      </c>
      <c r="D83">
        <v>29580491</v>
      </c>
      <c r="E83">
        <v>1</v>
      </c>
      <c r="F83">
        <v>1</v>
      </c>
      <c r="G83">
        <v>29506949</v>
      </c>
      <c r="H83">
        <v>2</v>
      </c>
      <c r="I83" t="s">
        <v>650</v>
      </c>
      <c r="J83" t="s">
        <v>651</v>
      </c>
      <c r="K83" t="s">
        <v>652</v>
      </c>
      <c r="L83">
        <v>1368</v>
      </c>
      <c r="N83">
        <v>1011</v>
      </c>
      <c r="O83" t="s">
        <v>647</v>
      </c>
      <c r="P83" t="s">
        <v>647</v>
      </c>
      <c r="Q83">
        <v>1</v>
      </c>
      <c r="W83">
        <v>0</v>
      </c>
      <c r="X83">
        <v>-1440889904</v>
      </c>
      <c r="Y83">
        <f t="shared" si="31"/>
        <v>0.25600000000000001</v>
      </c>
      <c r="AA83">
        <v>0</v>
      </c>
      <c r="AB83">
        <v>1051.9000000000001</v>
      </c>
      <c r="AC83">
        <v>397.72</v>
      </c>
      <c r="AD83">
        <v>0</v>
      </c>
      <c r="AE83">
        <v>0</v>
      </c>
      <c r="AF83">
        <v>83.1</v>
      </c>
      <c r="AG83">
        <v>12.62</v>
      </c>
      <c r="AH83">
        <v>0</v>
      </c>
      <c r="AI83">
        <v>1</v>
      </c>
      <c r="AJ83">
        <v>12.09</v>
      </c>
      <c r="AK83">
        <v>30.1</v>
      </c>
      <c r="AL83">
        <v>1</v>
      </c>
      <c r="AM83">
        <v>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0.32</v>
      </c>
      <c r="AU83" t="s">
        <v>36</v>
      </c>
      <c r="AV83">
        <v>0</v>
      </c>
      <c r="AW83">
        <v>2</v>
      </c>
      <c r="AX83">
        <v>53861153</v>
      </c>
      <c r="AY83">
        <v>1</v>
      </c>
      <c r="AZ83">
        <v>0</v>
      </c>
      <c r="BA83">
        <v>132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f>ROUND(Y83*Source!I102,9)</f>
        <v>0.96</v>
      </c>
      <c r="CX83">
        <f>ROUND(Y83*Source!I102,9)</f>
        <v>0.96</v>
      </c>
      <c r="CY83">
        <f>AB83</f>
        <v>1051.9000000000001</v>
      </c>
      <c r="CZ83">
        <f>AF83</f>
        <v>83.1</v>
      </c>
      <c r="DA83">
        <f>AJ83</f>
        <v>12.09</v>
      </c>
      <c r="DB83">
        <f t="shared" si="32"/>
        <v>21.271999999999998</v>
      </c>
      <c r="DC83">
        <f t="shared" si="33"/>
        <v>3.2320000000000002</v>
      </c>
      <c r="DD83" t="s">
        <v>3</v>
      </c>
      <c r="DE83" t="s">
        <v>3</v>
      </c>
      <c r="DF83">
        <f t="shared" si="30"/>
        <v>0</v>
      </c>
      <c r="DG83">
        <f>ROUND(ROUND(AF83*AJ83,2)*CX83,2)</f>
        <v>964.49</v>
      </c>
      <c r="DH83">
        <f>ROUND(ROUND(AG83*AK83,2)*CX83,2)</f>
        <v>364.67</v>
      </c>
      <c r="DI83">
        <f t="shared" si="22"/>
        <v>0</v>
      </c>
      <c r="DJ83">
        <f>DG83</f>
        <v>964.49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ROW(Source!A102)</f>
        <v>102</v>
      </c>
      <c r="B84">
        <v>53860087</v>
      </c>
      <c r="C84">
        <v>53860450</v>
      </c>
      <c r="D84">
        <v>29580614</v>
      </c>
      <c r="E84">
        <v>1</v>
      </c>
      <c r="F84">
        <v>1</v>
      </c>
      <c r="G84">
        <v>29506949</v>
      </c>
      <c r="H84">
        <v>2</v>
      </c>
      <c r="I84" t="s">
        <v>682</v>
      </c>
      <c r="J84" t="s">
        <v>683</v>
      </c>
      <c r="K84" t="s">
        <v>684</v>
      </c>
      <c r="L84">
        <v>1368</v>
      </c>
      <c r="N84">
        <v>1011</v>
      </c>
      <c r="O84" t="s">
        <v>647</v>
      </c>
      <c r="P84" t="s">
        <v>647</v>
      </c>
      <c r="Q84">
        <v>1</v>
      </c>
      <c r="W84">
        <v>0</v>
      </c>
      <c r="X84">
        <v>-798320174</v>
      </c>
      <c r="Y84">
        <f t="shared" si="31"/>
        <v>0.48799999999999999</v>
      </c>
      <c r="AA84">
        <v>0</v>
      </c>
      <c r="AB84">
        <v>9.86</v>
      </c>
      <c r="AC84">
        <v>0</v>
      </c>
      <c r="AD84">
        <v>0</v>
      </c>
      <c r="AE84">
        <v>0</v>
      </c>
      <c r="AF84">
        <v>1.1100000000000001</v>
      </c>
      <c r="AG84">
        <v>0</v>
      </c>
      <c r="AH84">
        <v>0</v>
      </c>
      <c r="AI84">
        <v>1</v>
      </c>
      <c r="AJ84">
        <v>8.48</v>
      </c>
      <c r="AK84">
        <v>30.1</v>
      </c>
      <c r="AL84">
        <v>1</v>
      </c>
      <c r="AM84">
        <v>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0.61</v>
      </c>
      <c r="AU84" t="s">
        <v>36</v>
      </c>
      <c r="AV84">
        <v>0</v>
      </c>
      <c r="AW84">
        <v>2</v>
      </c>
      <c r="AX84">
        <v>53861155</v>
      </c>
      <c r="AY84">
        <v>1</v>
      </c>
      <c r="AZ84">
        <v>0</v>
      </c>
      <c r="BA84">
        <v>133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f>ROUND(Y84*Source!I102,9)</f>
        <v>1.83</v>
      </c>
      <c r="CX84">
        <f>ROUND(Y84*Source!I102,9)</f>
        <v>1.83</v>
      </c>
      <c r="CY84">
        <f>AB84</f>
        <v>9.86</v>
      </c>
      <c r="CZ84">
        <f>AF84</f>
        <v>1.1100000000000001</v>
      </c>
      <c r="DA84">
        <f>AJ84</f>
        <v>8.48</v>
      </c>
      <c r="DB84">
        <f t="shared" si="32"/>
        <v>0.54400000000000004</v>
      </c>
      <c r="DC84">
        <f t="shared" si="33"/>
        <v>0</v>
      </c>
      <c r="DD84" t="s">
        <v>3</v>
      </c>
      <c r="DE84" t="s">
        <v>3</v>
      </c>
      <c r="DF84">
        <f t="shared" si="30"/>
        <v>0</v>
      </c>
      <c r="DG84">
        <f>ROUND(ROUND(AF84*AJ84,2)*CX84,2)</f>
        <v>17.22</v>
      </c>
      <c r="DH84">
        <f>ROUND(ROUND(AG84*AK84,2)*CX84,2)</f>
        <v>0</v>
      </c>
      <c r="DI84">
        <f t="shared" si="22"/>
        <v>0</v>
      </c>
      <c r="DJ84">
        <f>DG84</f>
        <v>17.22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ROW(Source!A102)</f>
        <v>102</v>
      </c>
      <c r="B85">
        <v>53860087</v>
      </c>
      <c r="C85">
        <v>53860450</v>
      </c>
      <c r="D85">
        <v>29580549</v>
      </c>
      <c r="E85">
        <v>1</v>
      </c>
      <c r="F85">
        <v>1</v>
      </c>
      <c r="G85">
        <v>29506949</v>
      </c>
      <c r="H85">
        <v>2</v>
      </c>
      <c r="I85" t="s">
        <v>685</v>
      </c>
      <c r="J85" t="s">
        <v>686</v>
      </c>
      <c r="K85" t="s">
        <v>687</v>
      </c>
      <c r="L85">
        <v>1368</v>
      </c>
      <c r="N85">
        <v>1011</v>
      </c>
      <c r="O85" t="s">
        <v>647</v>
      </c>
      <c r="P85" t="s">
        <v>647</v>
      </c>
      <c r="Q85">
        <v>1</v>
      </c>
      <c r="W85">
        <v>0</v>
      </c>
      <c r="X85">
        <v>517245713</v>
      </c>
      <c r="Y85">
        <f t="shared" si="31"/>
        <v>0.11200000000000002</v>
      </c>
      <c r="AA85">
        <v>0</v>
      </c>
      <c r="AB85">
        <v>3.47</v>
      </c>
      <c r="AC85">
        <v>0</v>
      </c>
      <c r="AD85">
        <v>0</v>
      </c>
      <c r="AE85">
        <v>0</v>
      </c>
      <c r="AF85">
        <v>0.39</v>
      </c>
      <c r="AG85">
        <v>0</v>
      </c>
      <c r="AH85">
        <v>0</v>
      </c>
      <c r="AI85">
        <v>1</v>
      </c>
      <c r="AJ85">
        <v>8.51</v>
      </c>
      <c r="AK85">
        <v>30.1</v>
      </c>
      <c r="AL85">
        <v>1</v>
      </c>
      <c r="AM85">
        <v>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0.14000000000000001</v>
      </c>
      <c r="AU85" t="s">
        <v>36</v>
      </c>
      <c r="AV85">
        <v>0</v>
      </c>
      <c r="AW85">
        <v>2</v>
      </c>
      <c r="AX85">
        <v>53861156</v>
      </c>
      <c r="AY85">
        <v>1</v>
      </c>
      <c r="AZ85">
        <v>0</v>
      </c>
      <c r="BA85">
        <v>134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f>ROUND(Y85*Source!I102,9)</f>
        <v>0.42</v>
      </c>
      <c r="CX85">
        <f>ROUND(Y85*Source!I102,9)</f>
        <v>0.42</v>
      </c>
      <c r="CY85">
        <f>AB85</f>
        <v>3.47</v>
      </c>
      <c r="CZ85">
        <f>AF85</f>
        <v>0.39</v>
      </c>
      <c r="DA85">
        <f>AJ85</f>
        <v>8.51</v>
      </c>
      <c r="DB85">
        <f t="shared" si="32"/>
        <v>0.04</v>
      </c>
      <c r="DC85">
        <f t="shared" si="33"/>
        <v>0</v>
      </c>
      <c r="DD85" t="s">
        <v>3</v>
      </c>
      <c r="DE85" t="s">
        <v>3</v>
      </c>
      <c r="DF85">
        <f t="shared" si="30"/>
        <v>0</v>
      </c>
      <c r="DG85">
        <f>ROUND(ROUND(AF85*AJ85,2)*CX85,2)</f>
        <v>1.39</v>
      </c>
      <c r="DH85">
        <f>ROUND(ROUND(AG85*AK85,2)*CX85,2)</f>
        <v>0</v>
      </c>
      <c r="DI85">
        <f t="shared" si="22"/>
        <v>0</v>
      </c>
      <c r="DJ85">
        <f>DG85</f>
        <v>1.39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ROW(Source!A102)</f>
        <v>102</v>
      </c>
      <c r="B86">
        <v>53860087</v>
      </c>
      <c r="C86">
        <v>53860450</v>
      </c>
      <c r="D86">
        <v>29580571</v>
      </c>
      <c r="E86">
        <v>1</v>
      </c>
      <c r="F86">
        <v>1</v>
      </c>
      <c r="G86">
        <v>29506949</v>
      </c>
      <c r="H86">
        <v>2</v>
      </c>
      <c r="I86" t="s">
        <v>644</v>
      </c>
      <c r="J86" t="s">
        <v>645</v>
      </c>
      <c r="K86" t="s">
        <v>646</v>
      </c>
      <c r="L86">
        <v>1368</v>
      </c>
      <c r="N86">
        <v>1011</v>
      </c>
      <c r="O86" t="s">
        <v>647</v>
      </c>
      <c r="P86" t="s">
        <v>647</v>
      </c>
      <c r="Q86">
        <v>1</v>
      </c>
      <c r="W86">
        <v>0</v>
      </c>
      <c r="X86">
        <v>-2099052417</v>
      </c>
      <c r="Y86">
        <f t="shared" si="31"/>
        <v>1.6</v>
      </c>
      <c r="AA86">
        <v>0</v>
      </c>
      <c r="AB86">
        <v>4.21</v>
      </c>
      <c r="AC86">
        <v>0</v>
      </c>
      <c r="AD86">
        <v>0</v>
      </c>
      <c r="AE86">
        <v>0</v>
      </c>
      <c r="AF86">
        <v>0.47</v>
      </c>
      <c r="AG86">
        <v>0</v>
      </c>
      <c r="AH86">
        <v>0</v>
      </c>
      <c r="AI86">
        <v>1</v>
      </c>
      <c r="AJ86">
        <v>8.5500000000000007</v>
      </c>
      <c r="AK86">
        <v>30.1</v>
      </c>
      <c r="AL86">
        <v>1</v>
      </c>
      <c r="AM86">
        <v>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2</v>
      </c>
      <c r="AU86" t="s">
        <v>36</v>
      </c>
      <c r="AV86">
        <v>0</v>
      </c>
      <c r="AW86">
        <v>2</v>
      </c>
      <c r="AX86">
        <v>53861157</v>
      </c>
      <c r="AY86">
        <v>1</v>
      </c>
      <c r="AZ86">
        <v>0</v>
      </c>
      <c r="BA86">
        <v>135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f>ROUND(Y86*Source!I102,9)</f>
        <v>6</v>
      </c>
      <c r="CX86">
        <f>ROUND(Y86*Source!I102,9)</f>
        <v>6</v>
      </c>
      <c r="CY86">
        <f>AB86</f>
        <v>4.21</v>
      </c>
      <c r="CZ86">
        <f>AF86</f>
        <v>0.47</v>
      </c>
      <c r="DA86">
        <f>AJ86</f>
        <v>8.5500000000000007</v>
      </c>
      <c r="DB86">
        <f t="shared" si="32"/>
        <v>0.752</v>
      </c>
      <c r="DC86">
        <f t="shared" si="33"/>
        <v>0</v>
      </c>
      <c r="DD86" t="s">
        <v>3</v>
      </c>
      <c r="DE86" t="s">
        <v>3</v>
      </c>
      <c r="DF86">
        <f t="shared" si="30"/>
        <v>0</v>
      </c>
      <c r="DG86">
        <f>ROUND(ROUND(AF86*AJ86,2)*CX86,2)</f>
        <v>24.12</v>
      </c>
      <c r="DH86">
        <f>ROUND(ROUND(AG86*AK86,2)*CX86,2)</f>
        <v>0</v>
      </c>
      <c r="DI86">
        <f t="shared" si="22"/>
        <v>0</v>
      </c>
      <c r="DJ86">
        <f>DG86</f>
        <v>24.12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ROW(Source!A102)</f>
        <v>102</v>
      </c>
      <c r="B87">
        <v>53860087</v>
      </c>
      <c r="C87">
        <v>53860450</v>
      </c>
      <c r="D87">
        <v>29579738</v>
      </c>
      <c r="E87">
        <v>1</v>
      </c>
      <c r="F87">
        <v>1</v>
      </c>
      <c r="G87">
        <v>29506949</v>
      </c>
      <c r="H87">
        <v>2</v>
      </c>
      <c r="I87" t="s">
        <v>665</v>
      </c>
      <c r="J87" t="s">
        <v>666</v>
      </c>
      <c r="K87" t="s">
        <v>667</v>
      </c>
      <c r="L87">
        <v>1368</v>
      </c>
      <c r="N87">
        <v>1011</v>
      </c>
      <c r="O87" t="s">
        <v>647</v>
      </c>
      <c r="P87" t="s">
        <v>647</v>
      </c>
      <c r="Q87">
        <v>1</v>
      </c>
      <c r="W87">
        <v>0</v>
      </c>
      <c r="X87">
        <v>1668154095</v>
      </c>
      <c r="Y87">
        <f t="shared" si="31"/>
        <v>0.25600000000000001</v>
      </c>
      <c r="AA87">
        <v>0</v>
      </c>
      <c r="AB87">
        <v>2050.37</v>
      </c>
      <c r="AC87">
        <v>533.54</v>
      </c>
      <c r="AD87">
        <v>0</v>
      </c>
      <c r="AE87">
        <v>0</v>
      </c>
      <c r="AF87">
        <v>179.17</v>
      </c>
      <c r="AG87">
        <v>16.93</v>
      </c>
      <c r="AH87">
        <v>0</v>
      </c>
      <c r="AI87">
        <v>1</v>
      </c>
      <c r="AJ87">
        <v>10.93</v>
      </c>
      <c r="AK87">
        <v>30.1</v>
      </c>
      <c r="AL87">
        <v>1</v>
      </c>
      <c r="AM87">
        <v>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0.32</v>
      </c>
      <c r="AU87" t="s">
        <v>36</v>
      </c>
      <c r="AV87">
        <v>0</v>
      </c>
      <c r="AW87">
        <v>2</v>
      </c>
      <c r="AX87">
        <v>53861154</v>
      </c>
      <c r="AY87">
        <v>1</v>
      </c>
      <c r="AZ87">
        <v>0</v>
      </c>
      <c r="BA87">
        <v>136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f>ROUND(Y87*Source!I102,9)</f>
        <v>0.96</v>
      </c>
      <c r="CX87">
        <f>ROUND(Y87*Source!I102,9)</f>
        <v>0.96</v>
      </c>
      <c r="CY87">
        <f>AB87</f>
        <v>2050.37</v>
      </c>
      <c r="CZ87">
        <f>AF87</f>
        <v>179.17</v>
      </c>
      <c r="DA87">
        <f>AJ87</f>
        <v>10.93</v>
      </c>
      <c r="DB87">
        <f t="shared" si="32"/>
        <v>45.863999999999997</v>
      </c>
      <c r="DC87">
        <f t="shared" si="33"/>
        <v>4.3360000000000003</v>
      </c>
      <c r="DD87" t="s">
        <v>3</v>
      </c>
      <c r="DE87" t="s">
        <v>3</v>
      </c>
      <c r="DF87">
        <f t="shared" si="30"/>
        <v>0</v>
      </c>
      <c r="DG87">
        <f>ROUND(ROUND(AF87*AJ87,2)*CX87,2)</f>
        <v>1880</v>
      </c>
      <c r="DH87">
        <f>ROUND(ROUND(AG87*AK87,2)*CX87,2)</f>
        <v>489.21</v>
      </c>
      <c r="DI87">
        <f t="shared" si="22"/>
        <v>0</v>
      </c>
      <c r="DJ87">
        <f>DG87</f>
        <v>1880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ROW(Source!A102)</f>
        <v>102</v>
      </c>
      <c r="B88">
        <v>53860087</v>
      </c>
      <c r="C88">
        <v>53860450</v>
      </c>
      <c r="D88">
        <v>29558353</v>
      </c>
      <c r="E88">
        <v>1</v>
      </c>
      <c r="F88">
        <v>1</v>
      </c>
      <c r="G88">
        <v>29506949</v>
      </c>
      <c r="H88">
        <v>3</v>
      </c>
      <c r="I88" t="s">
        <v>727</v>
      </c>
      <c r="J88" t="s">
        <v>728</v>
      </c>
      <c r="K88" t="s">
        <v>729</v>
      </c>
      <c r="L88">
        <v>1346</v>
      </c>
      <c r="N88">
        <v>1009</v>
      </c>
      <c r="O88" t="s">
        <v>58</v>
      </c>
      <c r="P88" t="s">
        <v>58</v>
      </c>
      <c r="Q88">
        <v>1</v>
      </c>
      <c r="W88">
        <v>0</v>
      </c>
      <c r="X88">
        <v>-663292889</v>
      </c>
      <c r="Y88">
        <f t="shared" ref="Y88:Y98" si="34">(AT88*0)</f>
        <v>0</v>
      </c>
      <c r="AA88">
        <v>80.66</v>
      </c>
      <c r="AB88">
        <v>0</v>
      </c>
      <c r="AC88">
        <v>0</v>
      </c>
      <c r="AD88">
        <v>0</v>
      </c>
      <c r="AE88">
        <v>17.309999999999999</v>
      </c>
      <c r="AF88">
        <v>0</v>
      </c>
      <c r="AG88">
        <v>0</v>
      </c>
      <c r="AH88">
        <v>0</v>
      </c>
      <c r="AI88">
        <v>4.66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10</v>
      </c>
      <c r="AU88" t="s">
        <v>35</v>
      </c>
      <c r="AV88">
        <v>0</v>
      </c>
      <c r="AW88">
        <v>2</v>
      </c>
      <c r="AX88">
        <v>53861158</v>
      </c>
      <c r="AY88">
        <v>1</v>
      </c>
      <c r="AZ88">
        <v>0</v>
      </c>
      <c r="BA88">
        <v>137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ROUND(Y88*Source!I102,9)</f>
        <v>0</v>
      </c>
      <c r="CY88">
        <f t="shared" ref="CY88:CY98" si="35">AA88</f>
        <v>80.66</v>
      </c>
      <c r="CZ88">
        <f t="shared" ref="CZ88:CZ98" si="36">AE88</f>
        <v>17.309999999999999</v>
      </c>
      <c r="DA88">
        <f t="shared" ref="DA88:DA98" si="37">AI88</f>
        <v>4.66</v>
      </c>
      <c r="DB88">
        <f t="shared" ref="DB88:DB98" si="38">ROUND((ROUND(AT88*CZ88,2)*0),6)</f>
        <v>0</v>
      </c>
      <c r="DC88">
        <f t="shared" ref="DC88:DC98" si="39">ROUND((ROUND(AT88*AG88,2)*0),6)</f>
        <v>0</v>
      </c>
      <c r="DD88" t="s">
        <v>3</v>
      </c>
      <c r="DE88" t="s">
        <v>3</v>
      </c>
      <c r="DF88">
        <f t="shared" ref="DF88:DF98" si="40">ROUND(ROUND(AE88*AI88,2)*CX88,2)</f>
        <v>0</v>
      </c>
      <c r="DG88">
        <f t="shared" ref="DG88:DG108" si="41">ROUND(ROUND(AF88,2)*CX88,2)</f>
        <v>0</v>
      </c>
      <c r="DH88">
        <f t="shared" ref="DH88:DH108" si="42">ROUND(ROUND(AG88,2)*CX88,2)</f>
        <v>0</v>
      </c>
      <c r="DI88">
        <f t="shared" si="22"/>
        <v>0</v>
      </c>
      <c r="DJ88">
        <f t="shared" ref="DJ88:DJ98" si="43">DF88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ROW(Source!A102)</f>
        <v>102</v>
      </c>
      <c r="B89">
        <v>53860087</v>
      </c>
      <c r="C89">
        <v>53860450</v>
      </c>
      <c r="D89">
        <v>29558790</v>
      </c>
      <c r="E89">
        <v>1</v>
      </c>
      <c r="F89">
        <v>1</v>
      </c>
      <c r="G89">
        <v>29506949</v>
      </c>
      <c r="H89">
        <v>3</v>
      </c>
      <c r="I89" t="s">
        <v>730</v>
      </c>
      <c r="J89" t="s">
        <v>731</v>
      </c>
      <c r="K89" t="s">
        <v>732</v>
      </c>
      <c r="L89">
        <v>1354</v>
      </c>
      <c r="N89">
        <v>1010</v>
      </c>
      <c r="O89" t="s">
        <v>536</v>
      </c>
      <c r="P89" t="s">
        <v>536</v>
      </c>
      <c r="Q89">
        <v>1</v>
      </c>
      <c r="W89">
        <v>0</v>
      </c>
      <c r="X89">
        <v>1010128000</v>
      </c>
      <c r="Y89">
        <f t="shared" si="34"/>
        <v>0</v>
      </c>
      <c r="AA89">
        <v>132.1</v>
      </c>
      <c r="AB89">
        <v>0</v>
      </c>
      <c r="AC89">
        <v>0</v>
      </c>
      <c r="AD89">
        <v>0</v>
      </c>
      <c r="AE89">
        <v>15.36</v>
      </c>
      <c r="AF89">
        <v>0</v>
      </c>
      <c r="AG89">
        <v>0</v>
      </c>
      <c r="AH89">
        <v>0</v>
      </c>
      <c r="AI89">
        <v>8.6</v>
      </c>
      <c r="AJ89">
        <v>1</v>
      </c>
      <c r="AK89">
        <v>1</v>
      </c>
      <c r="AL89">
        <v>1</v>
      </c>
      <c r="AM89">
        <v>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7</v>
      </c>
      <c r="AU89" t="s">
        <v>35</v>
      </c>
      <c r="AV89">
        <v>0</v>
      </c>
      <c r="AW89">
        <v>2</v>
      </c>
      <c r="AX89">
        <v>53861159</v>
      </c>
      <c r="AY89">
        <v>1</v>
      </c>
      <c r="AZ89">
        <v>0</v>
      </c>
      <c r="BA89">
        <v>138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ROUND(Y89*Source!I102,9)</f>
        <v>0</v>
      </c>
      <c r="CY89">
        <f t="shared" si="35"/>
        <v>132.1</v>
      </c>
      <c r="CZ89">
        <f t="shared" si="36"/>
        <v>15.36</v>
      </c>
      <c r="DA89">
        <f t="shared" si="37"/>
        <v>8.6</v>
      </c>
      <c r="DB89">
        <f t="shared" si="38"/>
        <v>0</v>
      </c>
      <c r="DC89">
        <f t="shared" si="39"/>
        <v>0</v>
      </c>
      <c r="DD89" t="s">
        <v>3</v>
      </c>
      <c r="DE89" t="s">
        <v>3</v>
      </c>
      <c r="DF89">
        <f t="shared" si="40"/>
        <v>0</v>
      </c>
      <c r="DG89">
        <f t="shared" si="41"/>
        <v>0</v>
      </c>
      <c r="DH89">
        <f t="shared" si="42"/>
        <v>0</v>
      </c>
      <c r="DI89">
        <f t="shared" si="22"/>
        <v>0</v>
      </c>
      <c r="DJ89">
        <f t="shared" si="43"/>
        <v>0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ROW(Source!A102)</f>
        <v>102</v>
      </c>
      <c r="B90">
        <v>53860087</v>
      </c>
      <c r="C90">
        <v>53860450</v>
      </c>
      <c r="D90">
        <v>29558791</v>
      </c>
      <c r="E90">
        <v>1</v>
      </c>
      <c r="F90">
        <v>1</v>
      </c>
      <c r="G90">
        <v>29506949</v>
      </c>
      <c r="H90">
        <v>3</v>
      </c>
      <c r="I90" t="s">
        <v>691</v>
      </c>
      <c r="J90" t="s">
        <v>692</v>
      </c>
      <c r="K90" t="s">
        <v>693</v>
      </c>
      <c r="L90">
        <v>1301</v>
      </c>
      <c r="N90">
        <v>1003</v>
      </c>
      <c r="O90" t="s">
        <v>125</v>
      </c>
      <c r="P90" t="s">
        <v>125</v>
      </c>
      <c r="Q90">
        <v>1</v>
      </c>
      <c r="W90">
        <v>0</v>
      </c>
      <c r="X90">
        <v>1854175844</v>
      </c>
      <c r="Y90">
        <f t="shared" si="34"/>
        <v>0</v>
      </c>
      <c r="AA90">
        <v>1.65</v>
      </c>
      <c r="AB90">
        <v>0</v>
      </c>
      <c r="AC90">
        <v>0</v>
      </c>
      <c r="AD90">
        <v>0</v>
      </c>
      <c r="AE90">
        <v>0.89</v>
      </c>
      <c r="AF90">
        <v>0</v>
      </c>
      <c r="AG90">
        <v>0</v>
      </c>
      <c r="AH90">
        <v>0</v>
      </c>
      <c r="AI90">
        <v>1.85</v>
      </c>
      <c r="AJ90">
        <v>1</v>
      </c>
      <c r="AK90">
        <v>1</v>
      </c>
      <c r="AL90">
        <v>1</v>
      </c>
      <c r="AM90">
        <v>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120</v>
      </c>
      <c r="AU90" t="s">
        <v>35</v>
      </c>
      <c r="AV90">
        <v>0</v>
      </c>
      <c r="AW90">
        <v>2</v>
      </c>
      <c r="AX90">
        <v>53861160</v>
      </c>
      <c r="AY90">
        <v>1</v>
      </c>
      <c r="AZ90">
        <v>0</v>
      </c>
      <c r="BA90">
        <v>139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ROUND(Y90*Source!I102,9)</f>
        <v>0</v>
      </c>
      <c r="CY90">
        <f t="shared" si="35"/>
        <v>1.65</v>
      </c>
      <c r="CZ90">
        <f t="shared" si="36"/>
        <v>0.89</v>
      </c>
      <c r="DA90">
        <f t="shared" si="37"/>
        <v>1.85</v>
      </c>
      <c r="DB90">
        <f t="shared" si="38"/>
        <v>0</v>
      </c>
      <c r="DC90">
        <f t="shared" si="39"/>
        <v>0</v>
      </c>
      <c r="DD90" t="s">
        <v>3</v>
      </c>
      <c r="DE90" t="s">
        <v>3</v>
      </c>
      <c r="DF90">
        <f t="shared" si="40"/>
        <v>0</v>
      </c>
      <c r="DG90">
        <f t="shared" si="41"/>
        <v>0</v>
      </c>
      <c r="DH90">
        <f t="shared" si="42"/>
        <v>0</v>
      </c>
      <c r="DI90">
        <f t="shared" si="22"/>
        <v>0</v>
      </c>
      <c r="DJ90">
        <f t="shared" si="43"/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ROW(Source!A102)</f>
        <v>102</v>
      </c>
      <c r="B91">
        <v>53860087</v>
      </c>
      <c r="C91">
        <v>53860450</v>
      </c>
      <c r="D91">
        <v>29558792</v>
      </c>
      <c r="E91">
        <v>1</v>
      </c>
      <c r="F91">
        <v>1</v>
      </c>
      <c r="G91">
        <v>29506949</v>
      </c>
      <c r="H91">
        <v>3</v>
      </c>
      <c r="I91" t="s">
        <v>694</v>
      </c>
      <c r="J91" t="s">
        <v>695</v>
      </c>
      <c r="K91" t="s">
        <v>696</v>
      </c>
      <c r="L91">
        <v>1301</v>
      </c>
      <c r="N91">
        <v>1003</v>
      </c>
      <c r="O91" t="s">
        <v>125</v>
      </c>
      <c r="P91" t="s">
        <v>125</v>
      </c>
      <c r="Q91">
        <v>1</v>
      </c>
      <c r="W91">
        <v>0</v>
      </c>
      <c r="X91">
        <v>1534032922</v>
      </c>
      <c r="Y91">
        <f t="shared" si="34"/>
        <v>0</v>
      </c>
      <c r="AA91">
        <v>19.329999999999998</v>
      </c>
      <c r="AB91">
        <v>0</v>
      </c>
      <c r="AC91">
        <v>0</v>
      </c>
      <c r="AD91">
        <v>0</v>
      </c>
      <c r="AE91">
        <v>1.62</v>
      </c>
      <c r="AF91">
        <v>0</v>
      </c>
      <c r="AG91">
        <v>0</v>
      </c>
      <c r="AH91">
        <v>0</v>
      </c>
      <c r="AI91">
        <v>11.93</v>
      </c>
      <c r="AJ91">
        <v>1</v>
      </c>
      <c r="AK91">
        <v>1</v>
      </c>
      <c r="AL91">
        <v>1</v>
      </c>
      <c r="AM91">
        <v>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82</v>
      </c>
      <c r="AU91" t="s">
        <v>35</v>
      </c>
      <c r="AV91">
        <v>0</v>
      </c>
      <c r="AW91">
        <v>2</v>
      </c>
      <c r="AX91">
        <v>53861161</v>
      </c>
      <c r="AY91">
        <v>1</v>
      </c>
      <c r="AZ91">
        <v>0</v>
      </c>
      <c r="BA91">
        <v>140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ROUND(Y91*Source!I102,9)</f>
        <v>0</v>
      </c>
      <c r="CY91">
        <f t="shared" si="35"/>
        <v>19.329999999999998</v>
      </c>
      <c r="CZ91">
        <f t="shared" si="36"/>
        <v>1.62</v>
      </c>
      <c r="DA91">
        <f t="shared" si="37"/>
        <v>11.93</v>
      </c>
      <c r="DB91">
        <f t="shared" si="38"/>
        <v>0</v>
      </c>
      <c r="DC91">
        <f t="shared" si="39"/>
        <v>0</v>
      </c>
      <c r="DD91" t="s">
        <v>3</v>
      </c>
      <c r="DE91" t="s">
        <v>3</v>
      </c>
      <c r="DF91">
        <f t="shared" si="40"/>
        <v>0</v>
      </c>
      <c r="DG91">
        <f t="shared" si="41"/>
        <v>0</v>
      </c>
      <c r="DH91">
        <f t="shared" si="42"/>
        <v>0</v>
      </c>
      <c r="DI91">
        <f t="shared" si="22"/>
        <v>0</v>
      </c>
      <c r="DJ91">
        <f t="shared" si="43"/>
        <v>0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ROW(Source!A102)</f>
        <v>102</v>
      </c>
      <c r="B92">
        <v>53860087</v>
      </c>
      <c r="C92">
        <v>53860450</v>
      </c>
      <c r="D92">
        <v>29558797</v>
      </c>
      <c r="E92">
        <v>1</v>
      </c>
      <c r="F92">
        <v>1</v>
      </c>
      <c r="G92">
        <v>29506949</v>
      </c>
      <c r="H92">
        <v>3</v>
      </c>
      <c r="I92" t="s">
        <v>700</v>
      </c>
      <c r="J92" t="s">
        <v>701</v>
      </c>
      <c r="K92" t="s">
        <v>702</v>
      </c>
      <c r="L92">
        <v>1355</v>
      </c>
      <c r="N92">
        <v>1010</v>
      </c>
      <c r="O92" t="s">
        <v>129</v>
      </c>
      <c r="P92" t="s">
        <v>129</v>
      </c>
      <c r="Q92">
        <v>100</v>
      </c>
      <c r="W92">
        <v>0</v>
      </c>
      <c r="X92">
        <v>-1862673786</v>
      </c>
      <c r="Y92">
        <f t="shared" si="34"/>
        <v>0</v>
      </c>
      <c r="AA92">
        <v>21.48</v>
      </c>
      <c r="AB92">
        <v>0</v>
      </c>
      <c r="AC92">
        <v>0</v>
      </c>
      <c r="AD92">
        <v>0</v>
      </c>
      <c r="AE92">
        <v>4.2699999999999996</v>
      </c>
      <c r="AF92">
        <v>0</v>
      </c>
      <c r="AG92">
        <v>0</v>
      </c>
      <c r="AH92">
        <v>0</v>
      </c>
      <c r="AI92">
        <v>5.03</v>
      </c>
      <c r="AJ92">
        <v>1</v>
      </c>
      <c r="AK92">
        <v>1</v>
      </c>
      <c r="AL92">
        <v>1</v>
      </c>
      <c r="AM92">
        <v>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7.35</v>
      </c>
      <c r="AU92" t="s">
        <v>35</v>
      </c>
      <c r="AV92">
        <v>0</v>
      </c>
      <c r="AW92">
        <v>2</v>
      </c>
      <c r="AX92">
        <v>53861162</v>
      </c>
      <c r="AY92">
        <v>1</v>
      </c>
      <c r="AZ92">
        <v>0</v>
      </c>
      <c r="BA92">
        <v>141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ROUND(Y92*Source!I102,9)</f>
        <v>0</v>
      </c>
      <c r="CY92">
        <f t="shared" si="35"/>
        <v>21.48</v>
      </c>
      <c r="CZ92">
        <f t="shared" si="36"/>
        <v>4.2699999999999996</v>
      </c>
      <c r="DA92">
        <f t="shared" si="37"/>
        <v>5.03</v>
      </c>
      <c r="DB92">
        <f t="shared" si="38"/>
        <v>0</v>
      </c>
      <c r="DC92">
        <f t="shared" si="39"/>
        <v>0</v>
      </c>
      <c r="DD92" t="s">
        <v>3</v>
      </c>
      <c r="DE92" t="s">
        <v>3</v>
      </c>
      <c r="DF92">
        <f t="shared" si="40"/>
        <v>0</v>
      </c>
      <c r="DG92">
        <f t="shared" si="41"/>
        <v>0</v>
      </c>
      <c r="DH92">
        <f t="shared" si="42"/>
        <v>0</v>
      </c>
      <c r="DI92">
        <f t="shared" si="22"/>
        <v>0</v>
      </c>
      <c r="DJ92">
        <f t="shared" si="43"/>
        <v>0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ROW(Source!A102)</f>
        <v>102</v>
      </c>
      <c r="B93">
        <v>53860087</v>
      </c>
      <c r="C93">
        <v>53860450</v>
      </c>
      <c r="D93">
        <v>29558798</v>
      </c>
      <c r="E93">
        <v>1</v>
      </c>
      <c r="F93">
        <v>1</v>
      </c>
      <c r="G93">
        <v>29506949</v>
      </c>
      <c r="H93">
        <v>3</v>
      </c>
      <c r="I93" t="s">
        <v>733</v>
      </c>
      <c r="J93" t="s">
        <v>734</v>
      </c>
      <c r="K93" t="s">
        <v>735</v>
      </c>
      <c r="L93">
        <v>1355</v>
      </c>
      <c r="N93">
        <v>1010</v>
      </c>
      <c r="O93" t="s">
        <v>129</v>
      </c>
      <c r="P93" t="s">
        <v>129</v>
      </c>
      <c r="Q93">
        <v>100</v>
      </c>
      <c r="W93">
        <v>0</v>
      </c>
      <c r="X93">
        <v>-2071610670</v>
      </c>
      <c r="Y93">
        <f t="shared" si="34"/>
        <v>0</v>
      </c>
      <c r="AA93">
        <v>24.04</v>
      </c>
      <c r="AB93">
        <v>0</v>
      </c>
      <c r="AC93">
        <v>0</v>
      </c>
      <c r="AD93">
        <v>0</v>
      </c>
      <c r="AE93">
        <v>5.59</v>
      </c>
      <c r="AF93">
        <v>0</v>
      </c>
      <c r="AG93">
        <v>0</v>
      </c>
      <c r="AH93">
        <v>0</v>
      </c>
      <c r="AI93">
        <v>4.3</v>
      </c>
      <c r="AJ93">
        <v>1</v>
      </c>
      <c r="AK93">
        <v>1</v>
      </c>
      <c r="AL93">
        <v>1</v>
      </c>
      <c r="AM93">
        <v>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18.55</v>
      </c>
      <c r="AU93" t="s">
        <v>35</v>
      </c>
      <c r="AV93">
        <v>0</v>
      </c>
      <c r="AW93">
        <v>2</v>
      </c>
      <c r="AX93">
        <v>53861163</v>
      </c>
      <c r="AY93">
        <v>1</v>
      </c>
      <c r="AZ93">
        <v>0</v>
      </c>
      <c r="BA93">
        <v>142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ROUND(Y93*Source!I102,9)</f>
        <v>0</v>
      </c>
      <c r="CY93">
        <f t="shared" si="35"/>
        <v>24.04</v>
      </c>
      <c r="CZ93">
        <f t="shared" si="36"/>
        <v>5.59</v>
      </c>
      <c r="DA93">
        <f t="shared" si="37"/>
        <v>4.3</v>
      </c>
      <c r="DB93">
        <f t="shared" si="38"/>
        <v>0</v>
      </c>
      <c r="DC93">
        <f t="shared" si="39"/>
        <v>0</v>
      </c>
      <c r="DD93" t="s">
        <v>3</v>
      </c>
      <c r="DE93" t="s">
        <v>3</v>
      </c>
      <c r="DF93">
        <f t="shared" si="40"/>
        <v>0</v>
      </c>
      <c r="DG93">
        <f t="shared" si="41"/>
        <v>0</v>
      </c>
      <c r="DH93">
        <f t="shared" si="42"/>
        <v>0</v>
      </c>
      <c r="DI93">
        <f t="shared" si="22"/>
        <v>0</v>
      </c>
      <c r="DJ93">
        <f t="shared" si="43"/>
        <v>0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ROW(Source!A102)</f>
        <v>102</v>
      </c>
      <c r="B94">
        <v>53860087</v>
      </c>
      <c r="C94">
        <v>53860450</v>
      </c>
      <c r="D94">
        <v>29558800</v>
      </c>
      <c r="E94">
        <v>1</v>
      </c>
      <c r="F94">
        <v>1</v>
      </c>
      <c r="G94">
        <v>29506949</v>
      </c>
      <c r="H94">
        <v>3</v>
      </c>
      <c r="I94" t="s">
        <v>703</v>
      </c>
      <c r="J94" t="s">
        <v>704</v>
      </c>
      <c r="K94" t="s">
        <v>705</v>
      </c>
      <c r="L94">
        <v>1355</v>
      </c>
      <c r="N94">
        <v>1010</v>
      </c>
      <c r="O94" t="s">
        <v>129</v>
      </c>
      <c r="P94" t="s">
        <v>129</v>
      </c>
      <c r="Q94">
        <v>100</v>
      </c>
      <c r="W94">
        <v>0</v>
      </c>
      <c r="X94">
        <v>2010027150</v>
      </c>
      <c r="Y94">
        <f t="shared" si="34"/>
        <v>0</v>
      </c>
      <c r="AA94">
        <v>65.72</v>
      </c>
      <c r="AB94">
        <v>0</v>
      </c>
      <c r="AC94">
        <v>0</v>
      </c>
      <c r="AD94">
        <v>0</v>
      </c>
      <c r="AE94">
        <v>43.81</v>
      </c>
      <c r="AF94">
        <v>0</v>
      </c>
      <c r="AG94">
        <v>0</v>
      </c>
      <c r="AH94">
        <v>0</v>
      </c>
      <c r="AI94">
        <v>1.5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1.53</v>
      </c>
      <c r="AU94" t="s">
        <v>35</v>
      </c>
      <c r="AV94">
        <v>0</v>
      </c>
      <c r="AW94">
        <v>2</v>
      </c>
      <c r="AX94">
        <v>53861164</v>
      </c>
      <c r="AY94">
        <v>1</v>
      </c>
      <c r="AZ94">
        <v>0</v>
      </c>
      <c r="BA94">
        <v>143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ROUND(Y94*Source!I102,9)</f>
        <v>0</v>
      </c>
      <c r="CY94">
        <f t="shared" si="35"/>
        <v>65.72</v>
      </c>
      <c r="CZ94">
        <f t="shared" si="36"/>
        <v>43.81</v>
      </c>
      <c r="DA94">
        <f t="shared" si="37"/>
        <v>1.5</v>
      </c>
      <c r="DB94">
        <f t="shared" si="38"/>
        <v>0</v>
      </c>
      <c r="DC94">
        <f t="shared" si="39"/>
        <v>0</v>
      </c>
      <c r="DD94" t="s">
        <v>3</v>
      </c>
      <c r="DE94" t="s">
        <v>3</v>
      </c>
      <c r="DF94">
        <f t="shared" si="40"/>
        <v>0</v>
      </c>
      <c r="DG94">
        <f t="shared" si="41"/>
        <v>0</v>
      </c>
      <c r="DH94">
        <f t="shared" si="42"/>
        <v>0</v>
      </c>
      <c r="DI94">
        <f t="shared" si="22"/>
        <v>0</v>
      </c>
      <c r="DJ94">
        <f t="shared" si="43"/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ROW(Source!A102)</f>
        <v>102</v>
      </c>
      <c r="B95">
        <v>53860087</v>
      </c>
      <c r="C95">
        <v>53860450</v>
      </c>
      <c r="D95">
        <v>29574265</v>
      </c>
      <c r="E95">
        <v>1</v>
      </c>
      <c r="F95">
        <v>1</v>
      </c>
      <c r="G95">
        <v>29506949</v>
      </c>
      <c r="H95">
        <v>3</v>
      </c>
      <c r="I95" t="s">
        <v>706</v>
      </c>
      <c r="J95" t="s">
        <v>707</v>
      </c>
      <c r="K95" t="s">
        <v>708</v>
      </c>
      <c r="L95">
        <v>1346</v>
      </c>
      <c r="N95">
        <v>1009</v>
      </c>
      <c r="O95" t="s">
        <v>58</v>
      </c>
      <c r="P95" t="s">
        <v>58</v>
      </c>
      <c r="Q95">
        <v>1</v>
      </c>
      <c r="W95">
        <v>0</v>
      </c>
      <c r="X95">
        <v>-1485587610</v>
      </c>
      <c r="Y95">
        <f t="shared" si="34"/>
        <v>0</v>
      </c>
      <c r="AA95">
        <v>107.43</v>
      </c>
      <c r="AB95">
        <v>0</v>
      </c>
      <c r="AC95">
        <v>0</v>
      </c>
      <c r="AD95">
        <v>0</v>
      </c>
      <c r="AE95">
        <v>14.88</v>
      </c>
      <c r="AF95">
        <v>0</v>
      </c>
      <c r="AG95">
        <v>0</v>
      </c>
      <c r="AH95">
        <v>0</v>
      </c>
      <c r="AI95">
        <v>7.22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9</v>
      </c>
      <c r="AU95" t="s">
        <v>35</v>
      </c>
      <c r="AV95">
        <v>0</v>
      </c>
      <c r="AW95">
        <v>2</v>
      </c>
      <c r="AX95">
        <v>53861165</v>
      </c>
      <c r="AY95">
        <v>1</v>
      </c>
      <c r="AZ95">
        <v>0</v>
      </c>
      <c r="BA95">
        <v>144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ROUND(Y95*Source!I102,9)</f>
        <v>0</v>
      </c>
      <c r="CY95">
        <f t="shared" si="35"/>
        <v>107.43</v>
      </c>
      <c r="CZ95">
        <f t="shared" si="36"/>
        <v>14.88</v>
      </c>
      <c r="DA95">
        <f t="shared" si="37"/>
        <v>7.22</v>
      </c>
      <c r="DB95">
        <f t="shared" si="38"/>
        <v>0</v>
      </c>
      <c r="DC95">
        <f t="shared" si="39"/>
        <v>0</v>
      </c>
      <c r="DD95" t="s">
        <v>3</v>
      </c>
      <c r="DE95" t="s">
        <v>3</v>
      </c>
      <c r="DF95">
        <f t="shared" si="40"/>
        <v>0</v>
      </c>
      <c r="DG95">
        <f t="shared" si="41"/>
        <v>0</v>
      </c>
      <c r="DH95">
        <f t="shared" si="42"/>
        <v>0</v>
      </c>
      <c r="DI95">
        <f t="shared" si="22"/>
        <v>0</v>
      </c>
      <c r="DJ95">
        <f t="shared" si="43"/>
        <v>0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ROW(Source!A102)</f>
        <v>102</v>
      </c>
      <c r="B96">
        <v>53860087</v>
      </c>
      <c r="C96">
        <v>53860450</v>
      </c>
      <c r="D96">
        <v>29574266</v>
      </c>
      <c r="E96">
        <v>1</v>
      </c>
      <c r="F96">
        <v>1</v>
      </c>
      <c r="G96">
        <v>29506949</v>
      </c>
      <c r="H96">
        <v>3</v>
      </c>
      <c r="I96" t="s">
        <v>736</v>
      </c>
      <c r="J96" t="s">
        <v>737</v>
      </c>
      <c r="K96" t="s">
        <v>738</v>
      </c>
      <c r="L96">
        <v>1346</v>
      </c>
      <c r="N96">
        <v>1009</v>
      </c>
      <c r="O96" t="s">
        <v>58</v>
      </c>
      <c r="P96" t="s">
        <v>58</v>
      </c>
      <c r="Q96">
        <v>1</v>
      </c>
      <c r="W96">
        <v>0</v>
      </c>
      <c r="X96">
        <v>1967037341</v>
      </c>
      <c r="Y96">
        <f t="shared" si="34"/>
        <v>0</v>
      </c>
      <c r="AA96">
        <v>15.61</v>
      </c>
      <c r="AB96">
        <v>0</v>
      </c>
      <c r="AC96">
        <v>0</v>
      </c>
      <c r="AD96">
        <v>0</v>
      </c>
      <c r="AE96">
        <v>4.55</v>
      </c>
      <c r="AF96">
        <v>0</v>
      </c>
      <c r="AG96">
        <v>0</v>
      </c>
      <c r="AH96">
        <v>0</v>
      </c>
      <c r="AI96">
        <v>3.43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119</v>
      </c>
      <c r="AU96" t="s">
        <v>35</v>
      </c>
      <c r="AV96">
        <v>0</v>
      </c>
      <c r="AW96">
        <v>2</v>
      </c>
      <c r="AX96">
        <v>53861166</v>
      </c>
      <c r="AY96">
        <v>1</v>
      </c>
      <c r="AZ96">
        <v>0</v>
      </c>
      <c r="BA96">
        <v>145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ROUND(Y96*Source!I102,9)</f>
        <v>0</v>
      </c>
      <c r="CY96">
        <f t="shared" si="35"/>
        <v>15.61</v>
      </c>
      <c r="CZ96">
        <f t="shared" si="36"/>
        <v>4.55</v>
      </c>
      <c r="DA96">
        <f t="shared" si="37"/>
        <v>3.43</v>
      </c>
      <c r="DB96">
        <f t="shared" si="38"/>
        <v>0</v>
      </c>
      <c r="DC96">
        <f t="shared" si="39"/>
        <v>0</v>
      </c>
      <c r="DD96" t="s">
        <v>3</v>
      </c>
      <c r="DE96" t="s">
        <v>3</v>
      </c>
      <c r="DF96">
        <f t="shared" si="40"/>
        <v>0</v>
      </c>
      <c r="DG96">
        <f t="shared" si="41"/>
        <v>0</v>
      </c>
      <c r="DH96">
        <f t="shared" si="42"/>
        <v>0</v>
      </c>
      <c r="DI96">
        <f t="shared" si="22"/>
        <v>0</v>
      </c>
      <c r="DJ96">
        <f t="shared" si="43"/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ROW(Source!A102)</f>
        <v>102</v>
      </c>
      <c r="B97">
        <v>53860087</v>
      </c>
      <c r="C97">
        <v>53860450</v>
      </c>
      <c r="D97">
        <v>29574151</v>
      </c>
      <c r="E97">
        <v>1</v>
      </c>
      <c r="F97">
        <v>1</v>
      </c>
      <c r="G97">
        <v>29506949</v>
      </c>
      <c r="H97">
        <v>3</v>
      </c>
      <c r="I97" t="s">
        <v>709</v>
      </c>
      <c r="J97" t="s">
        <v>710</v>
      </c>
      <c r="K97" t="s">
        <v>977</v>
      </c>
      <c r="L97">
        <v>1346</v>
      </c>
      <c r="N97">
        <v>1009</v>
      </c>
      <c r="O97" t="s">
        <v>58</v>
      </c>
      <c r="P97" t="s">
        <v>58</v>
      </c>
      <c r="Q97">
        <v>1</v>
      </c>
      <c r="W97">
        <v>0</v>
      </c>
      <c r="X97">
        <v>-2085887270</v>
      </c>
      <c r="Y97">
        <f t="shared" si="34"/>
        <v>0</v>
      </c>
      <c r="AA97">
        <v>23.2</v>
      </c>
      <c r="AB97">
        <v>0</v>
      </c>
      <c r="AC97">
        <v>0</v>
      </c>
      <c r="AD97">
        <v>0</v>
      </c>
      <c r="AE97">
        <v>5.19</v>
      </c>
      <c r="AF97">
        <v>0</v>
      </c>
      <c r="AG97">
        <v>0</v>
      </c>
      <c r="AH97">
        <v>0</v>
      </c>
      <c r="AI97">
        <v>4.47</v>
      </c>
      <c r="AJ97">
        <v>1</v>
      </c>
      <c r="AK97">
        <v>1</v>
      </c>
      <c r="AL97">
        <v>1</v>
      </c>
      <c r="AM97">
        <v>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85</v>
      </c>
      <c r="AU97" t="s">
        <v>35</v>
      </c>
      <c r="AV97">
        <v>0</v>
      </c>
      <c r="AW97">
        <v>2</v>
      </c>
      <c r="AX97">
        <v>53861167</v>
      </c>
      <c r="AY97">
        <v>1</v>
      </c>
      <c r="AZ97">
        <v>0</v>
      </c>
      <c r="BA97">
        <v>146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ROUND(Y97*Source!I102,9)</f>
        <v>0</v>
      </c>
      <c r="CY97">
        <f t="shared" si="35"/>
        <v>23.2</v>
      </c>
      <c r="CZ97">
        <f t="shared" si="36"/>
        <v>5.19</v>
      </c>
      <c r="DA97">
        <f t="shared" si="37"/>
        <v>4.47</v>
      </c>
      <c r="DB97">
        <f t="shared" si="38"/>
        <v>0</v>
      </c>
      <c r="DC97">
        <f t="shared" si="39"/>
        <v>0</v>
      </c>
      <c r="DD97" t="s">
        <v>3</v>
      </c>
      <c r="DE97" t="s">
        <v>3</v>
      </c>
      <c r="DF97">
        <f t="shared" si="40"/>
        <v>0</v>
      </c>
      <c r="DG97">
        <f t="shared" si="41"/>
        <v>0</v>
      </c>
      <c r="DH97">
        <f t="shared" si="42"/>
        <v>0</v>
      </c>
      <c r="DI97">
        <f t="shared" si="22"/>
        <v>0</v>
      </c>
      <c r="DJ97">
        <f t="shared" si="43"/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ROW(Source!A102)</f>
        <v>102</v>
      </c>
      <c r="B98">
        <v>53860087</v>
      </c>
      <c r="C98">
        <v>53860450</v>
      </c>
      <c r="D98">
        <v>29577894</v>
      </c>
      <c r="E98">
        <v>1</v>
      </c>
      <c r="F98">
        <v>1</v>
      </c>
      <c r="G98">
        <v>29506949</v>
      </c>
      <c r="H98">
        <v>3</v>
      </c>
      <c r="I98" t="s">
        <v>739</v>
      </c>
      <c r="J98" t="s">
        <v>740</v>
      </c>
      <c r="K98" t="s">
        <v>741</v>
      </c>
      <c r="L98">
        <v>1348</v>
      </c>
      <c r="N98">
        <v>1009</v>
      </c>
      <c r="O98" t="s">
        <v>75</v>
      </c>
      <c r="P98" t="s">
        <v>75</v>
      </c>
      <c r="Q98">
        <v>1000</v>
      </c>
      <c r="W98">
        <v>0</v>
      </c>
      <c r="X98">
        <v>-14446060</v>
      </c>
      <c r="Y98">
        <f t="shared" si="34"/>
        <v>0</v>
      </c>
      <c r="AA98">
        <v>108372.61</v>
      </c>
      <c r="AB98">
        <v>0</v>
      </c>
      <c r="AC98">
        <v>0</v>
      </c>
      <c r="AD98">
        <v>0</v>
      </c>
      <c r="AE98">
        <v>60883.49</v>
      </c>
      <c r="AF98">
        <v>0</v>
      </c>
      <c r="AG98">
        <v>0</v>
      </c>
      <c r="AH98">
        <v>0</v>
      </c>
      <c r="AI98">
        <v>1.78</v>
      </c>
      <c r="AJ98">
        <v>1</v>
      </c>
      <c r="AK98">
        <v>1</v>
      </c>
      <c r="AL98">
        <v>1</v>
      </c>
      <c r="AM98">
        <v>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1.1039999999999999E-2</v>
      </c>
      <c r="AU98" t="s">
        <v>35</v>
      </c>
      <c r="AV98">
        <v>0</v>
      </c>
      <c r="AW98">
        <v>2</v>
      </c>
      <c r="AX98">
        <v>53861168</v>
      </c>
      <c r="AY98">
        <v>1</v>
      </c>
      <c r="AZ98">
        <v>0</v>
      </c>
      <c r="BA98">
        <v>147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ROUND(Y98*Source!I102,9)</f>
        <v>0</v>
      </c>
      <c r="CY98">
        <f t="shared" si="35"/>
        <v>108372.61</v>
      </c>
      <c r="CZ98">
        <f t="shared" si="36"/>
        <v>60883.49</v>
      </c>
      <c r="DA98">
        <f t="shared" si="37"/>
        <v>1.78</v>
      </c>
      <c r="DB98">
        <f t="shared" si="38"/>
        <v>0</v>
      </c>
      <c r="DC98">
        <f t="shared" si="39"/>
        <v>0</v>
      </c>
      <c r="DD98" t="s">
        <v>3</v>
      </c>
      <c r="DE98" t="s">
        <v>3</v>
      </c>
      <c r="DF98">
        <f t="shared" si="40"/>
        <v>0</v>
      </c>
      <c r="DG98">
        <f t="shared" si="41"/>
        <v>0</v>
      </c>
      <c r="DH98">
        <f t="shared" si="42"/>
        <v>0</v>
      </c>
      <c r="DI98">
        <f t="shared" si="22"/>
        <v>0</v>
      </c>
      <c r="DJ98">
        <f t="shared" si="43"/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ROW(Source!A103)</f>
        <v>103</v>
      </c>
      <c r="B99">
        <v>53860087</v>
      </c>
      <c r="C99">
        <v>53860489</v>
      </c>
      <c r="D99">
        <v>29506954</v>
      </c>
      <c r="E99">
        <v>29506949</v>
      </c>
      <c r="F99">
        <v>1</v>
      </c>
      <c r="G99">
        <v>29506949</v>
      </c>
      <c r="H99">
        <v>1</v>
      </c>
      <c r="I99" t="s">
        <v>638</v>
      </c>
      <c r="J99" t="s">
        <v>3</v>
      </c>
      <c r="K99" t="s">
        <v>639</v>
      </c>
      <c r="L99">
        <v>1191</v>
      </c>
      <c r="N99">
        <v>1013</v>
      </c>
      <c r="O99" t="s">
        <v>640</v>
      </c>
      <c r="P99" t="s">
        <v>640</v>
      </c>
      <c r="Q99">
        <v>1</v>
      </c>
      <c r="W99">
        <v>0</v>
      </c>
      <c r="X99">
        <v>476480486</v>
      </c>
      <c r="Y99">
        <f t="shared" ref="Y99:Y107" si="44">AT99</f>
        <v>15.88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15.88</v>
      </c>
      <c r="AU99" t="s">
        <v>3</v>
      </c>
      <c r="AV99">
        <v>1</v>
      </c>
      <c r="AW99">
        <v>2</v>
      </c>
      <c r="AX99">
        <v>53861173</v>
      </c>
      <c r="AY99">
        <v>1</v>
      </c>
      <c r="AZ99">
        <v>0</v>
      </c>
      <c r="BA99">
        <v>152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U99">
        <f>ROUND(AT99*Source!I103*AH99*AL99,2)</f>
        <v>0</v>
      </c>
      <c r="CV99">
        <f>ROUND(Y99*Source!I103,9)</f>
        <v>114.336</v>
      </c>
      <c r="CW99">
        <v>0</v>
      </c>
      <c r="CX99">
        <f>ROUND(Y99*Source!I103,9)</f>
        <v>114.336</v>
      </c>
      <c r="CY99">
        <f>AD99</f>
        <v>0</v>
      </c>
      <c r="CZ99">
        <f>AH99</f>
        <v>0</v>
      </c>
      <c r="DA99">
        <f>AL99</f>
        <v>1</v>
      </c>
      <c r="DB99">
        <f t="shared" ref="DB99:DB107" si="45">ROUND(ROUND(AT99*CZ99,2),6)</f>
        <v>0</v>
      </c>
      <c r="DC99">
        <f t="shared" ref="DC99:DC107" si="46">ROUND(ROUND(AT99*AG99,2),6)</f>
        <v>0</v>
      </c>
      <c r="DD99" t="s">
        <v>3</v>
      </c>
      <c r="DE99" t="s">
        <v>3</v>
      </c>
      <c r="DF99">
        <f>ROUND(ROUND(AE99,2)*CX99,2)</f>
        <v>0</v>
      </c>
      <c r="DG99">
        <f t="shared" si="41"/>
        <v>0</v>
      </c>
      <c r="DH99">
        <f t="shared" si="42"/>
        <v>0</v>
      </c>
      <c r="DI99">
        <f t="shared" si="22"/>
        <v>0</v>
      </c>
      <c r="DJ99">
        <f>DI99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ROW(Source!A103)</f>
        <v>103</v>
      </c>
      <c r="B100">
        <v>53860087</v>
      </c>
      <c r="C100">
        <v>53860489</v>
      </c>
      <c r="D100">
        <v>29529074</v>
      </c>
      <c r="E100">
        <v>29506949</v>
      </c>
      <c r="F100">
        <v>1</v>
      </c>
      <c r="G100">
        <v>29506949</v>
      </c>
      <c r="H100">
        <v>3</v>
      </c>
      <c r="I100" t="s">
        <v>648</v>
      </c>
      <c r="J100" t="s">
        <v>3</v>
      </c>
      <c r="K100" t="s">
        <v>649</v>
      </c>
      <c r="L100">
        <v>1348</v>
      </c>
      <c r="N100">
        <v>1009</v>
      </c>
      <c r="O100" t="s">
        <v>75</v>
      </c>
      <c r="P100" t="s">
        <v>75</v>
      </c>
      <c r="Q100">
        <v>1000</v>
      </c>
      <c r="W100">
        <v>0</v>
      </c>
      <c r="X100">
        <v>1489638031</v>
      </c>
      <c r="Y100">
        <f t="shared" si="44"/>
        <v>2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2</v>
      </c>
      <c r="AU100" t="s">
        <v>3</v>
      </c>
      <c r="AV100">
        <v>0</v>
      </c>
      <c r="AW100">
        <v>2</v>
      </c>
      <c r="AX100">
        <v>53861174</v>
      </c>
      <c r="AY100">
        <v>1</v>
      </c>
      <c r="AZ100">
        <v>0</v>
      </c>
      <c r="BA100">
        <v>153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ROUND(Y100*Source!I103,9)</f>
        <v>14.4</v>
      </c>
      <c r="CY100">
        <f t="shared" ref="CY100:CY107" si="47">AA100</f>
        <v>0</v>
      </c>
      <c r="CZ100">
        <f t="shared" ref="CZ100:CZ107" si="48">AE100</f>
        <v>0</v>
      </c>
      <c r="DA100">
        <f t="shared" ref="DA100:DA107" si="49">AI100</f>
        <v>1</v>
      </c>
      <c r="DB100">
        <f t="shared" si="45"/>
        <v>0</v>
      </c>
      <c r="DC100">
        <f t="shared" si="46"/>
        <v>0</v>
      </c>
      <c r="DD100" t="s">
        <v>3</v>
      </c>
      <c r="DE100" t="s">
        <v>3</v>
      </c>
      <c r="DF100">
        <f>ROUND(ROUND(AE100,2)*CX100,2)</f>
        <v>0</v>
      </c>
      <c r="DG100">
        <f t="shared" si="41"/>
        <v>0</v>
      </c>
      <c r="DH100">
        <f t="shared" si="42"/>
        <v>0</v>
      </c>
      <c r="DI100">
        <f t="shared" si="22"/>
        <v>0</v>
      </c>
      <c r="DJ100">
        <f t="shared" ref="DJ100:DJ107" si="50">DF100</f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ROW(Source!A105)</f>
        <v>105</v>
      </c>
      <c r="B101">
        <v>53860087</v>
      </c>
      <c r="C101">
        <v>53860495</v>
      </c>
      <c r="D101">
        <v>29557964</v>
      </c>
      <c r="E101">
        <v>1</v>
      </c>
      <c r="F101">
        <v>1</v>
      </c>
      <c r="G101">
        <v>29506949</v>
      </c>
      <c r="H101">
        <v>3</v>
      </c>
      <c r="I101" t="s">
        <v>56</v>
      </c>
      <c r="J101" t="s">
        <v>59</v>
      </c>
      <c r="K101" t="s">
        <v>57</v>
      </c>
      <c r="L101">
        <v>1346</v>
      </c>
      <c r="N101">
        <v>1009</v>
      </c>
      <c r="O101" t="s">
        <v>58</v>
      </c>
      <c r="P101" t="s">
        <v>58</v>
      </c>
      <c r="Q101">
        <v>1</v>
      </c>
      <c r="W101">
        <v>0</v>
      </c>
      <c r="X101">
        <v>33071459</v>
      </c>
      <c r="Y101">
        <f t="shared" si="44"/>
        <v>10.3</v>
      </c>
      <c r="AA101">
        <v>103.75</v>
      </c>
      <c r="AB101">
        <v>0</v>
      </c>
      <c r="AC101">
        <v>0</v>
      </c>
      <c r="AD101">
        <v>0</v>
      </c>
      <c r="AE101">
        <v>28.98</v>
      </c>
      <c r="AF101">
        <v>0</v>
      </c>
      <c r="AG101">
        <v>0</v>
      </c>
      <c r="AH101">
        <v>0</v>
      </c>
      <c r="AI101">
        <v>3.58</v>
      </c>
      <c r="AJ101">
        <v>1</v>
      </c>
      <c r="AK101">
        <v>1</v>
      </c>
      <c r="AL101">
        <v>1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 t="s">
        <v>3</v>
      </c>
      <c r="AT101">
        <v>10.3</v>
      </c>
      <c r="AU101" t="s">
        <v>3</v>
      </c>
      <c r="AV101">
        <v>0</v>
      </c>
      <c r="AW101">
        <v>1</v>
      </c>
      <c r="AX101">
        <v>-1</v>
      </c>
      <c r="AY101">
        <v>0</v>
      </c>
      <c r="AZ101">
        <v>0</v>
      </c>
      <c r="BA101" t="s">
        <v>3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ROUND(Y101*Source!I105,9)</f>
        <v>9.27</v>
      </c>
      <c r="CY101">
        <f t="shared" si="47"/>
        <v>103.75</v>
      </c>
      <c r="CZ101">
        <f t="shared" si="48"/>
        <v>28.98</v>
      </c>
      <c r="DA101">
        <f t="shared" si="49"/>
        <v>3.58</v>
      </c>
      <c r="DB101">
        <f t="shared" si="45"/>
        <v>298.49</v>
      </c>
      <c r="DC101">
        <f t="shared" si="46"/>
        <v>0</v>
      </c>
      <c r="DD101" t="s">
        <v>3</v>
      </c>
      <c r="DE101" t="s">
        <v>3</v>
      </c>
      <c r="DF101">
        <f t="shared" ref="DF101:DF107" si="51">ROUND(ROUND(AE101*AI101,2)*CX101,2)</f>
        <v>961.76</v>
      </c>
      <c r="DG101">
        <f t="shared" si="41"/>
        <v>0</v>
      </c>
      <c r="DH101">
        <f t="shared" si="42"/>
        <v>0</v>
      </c>
      <c r="DI101">
        <f t="shared" si="22"/>
        <v>0</v>
      </c>
      <c r="DJ101">
        <f t="shared" si="50"/>
        <v>961.76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ROW(Source!A107)</f>
        <v>107</v>
      </c>
      <c r="B102">
        <v>53860087</v>
      </c>
      <c r="C102">
        <v>53860498</v>
      </c>
      <c r="D102">
        <v>29555598</v>
      </c>
      <c r="E102">
        <v>1</v>
      </c>
      <c r="F102">
        <v>1</v>
      </c>
      <c r="G102">
        <v>29506949</v>
      </c>
      <c r="H102">
        <v>3</v>
      </c>
      <c r="I102" t="s">
        <v>68</v>
      </c>
      <c r="J102" t="s">
        <v>71</v>
      </c>
      <c r="K102" t="s">
        <v>69</v>
      </c>
      <c r="L102">
        <v>1339</v>
      </c>
      <c r="N102">
        <v>1007</v>
      </c>
      <c r="O102" t="s">
        <v>70</v>
      </c>
      <c r="P102" t="s">
        <v>70</v>
      </c>
      <c r="Q102">
        <v>1</v>
      </c>
      <c r="W102">
        <v>0</v>
      </c>
      <c r="X102">
        <v>-862991314</v>
      </c>
      <c r="Y102">
        <f t="shared" si="44"/>
        <v>8.4000000000000005E-2</v>
      </c>
      <c r="AA102">
        <v>42.42</v>
      </c>
      <c r="AB102">
        <v>0</v>
      </c>
      <c r="AC102">
        <v>0</v>
      </c>
      <c r="AD102">
        <v>0</v>
      </c>
      <c r="AE102">
        <v>7.07</v>
      </c>
      <c r="AF102">
        <v>0</v>
      </c>
      <c r="AG102">
        <v>0</v>
      </c>
      <c r="AH102">
        <v>0</v>
      </c>
      <c r="AI102">
        <v>6</v>
      </c>
      <c r="AJ102">
        <v>1</v>
      </c>
      <c r="AK102">
        <v>1</v>
      </c>
      <c r="AL102">
        <v>1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 t="s">
        <v>3</v>
      </c>
      <c r="AT102">
        <v>8.4000000000000005E-2</v>
      </c>
      <c r="AU102" t="s">
        <v>3</v>
      </c>
      <c r="AV102">
        <v>0</v>
      </c>
      <c r="AW102">
        <v>1</v>
      </c>
      <c r="AX102">
        <v>-1</v>
      </c>
      <c r="AY102">
        <v>0</v>
      </c>
      <c r="AZ102">
        <v>0</v>
      </c>
      <c r="BA102" t="s">
        <v>3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ROUND(Y102*Source!I107,9)</f>
        <v>6.3E-2</v>
      </c>
      <c r="CY102">
        <f t="shared" si="47"/>
        <v>42.42</v>
      </c>
      <c r="CZ102">
        <f t="shared" si="48"/>
        <v>7.07</v>
      </c>
      <c r="DA102">
        <f t="shared" si="49"/>
        <v>6</v>
      </c>
      <c r="DB102">
        <f t="shared" si="45"/>
        <v>0.59</v>
      </c>
      <c r="DC102">
        <f t="shared" si="46"/>
        <v>0</v>
      </c>
      <c r="DD102" t="s">
        <v>3</v>
      </c>
      <c r="DE102" t="s">
        <v>3</v>
      </c>
      <c r="DF102">
        <f t="shared" si="51"/>
        <v>2.67</v>
      </c>
      <c r="DG102">
        <f t="shared" si="41"/>
        <v>0</v>
      </c>
      <c r="DH102">
        <f t="shared" si="42"/>
        <v>0</v>
      </c>
      <c r="DI102">
        <f t="shared" si="22"/>
        <v>0</v>
      </c>
      <c r="DJ102">
        <f t="shared" si="50"/>
        <v>2.67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ROW(Source!A107)</f>
        <v>107</v>
      </c>
      <c r="B103">
        <v>53860087</v>
      </c>
      <c r="C103">
        <v>53860498</v>
      </c>
      <c r="D103">
        <v>29574116</v>
      </c>
      <c r="E103">
        <v>1</v>
      </c>
      <c r="F103">
        <v>1</v>
      </c>
      <c r="G103">
        <v>29506949</v>
      </c>
      <c r="H103">
        <v>3</v>
      </c>
      <c r="I103" t="s">
        <v>78</v>
      </c>
      <c r="J103" t="s">
        <v>80</v>
      </c>
      <c r="K103" t="s">
        <v>265</v>
      </c>
      <c r="L103">
        <v>1339</v>
      </c>
      <c r="N103">
        <v>1007</v>
      </c>
      <c r="O103" t="s">
        <v>70</v>
      </c>
      <c r="P103" t="s">
        <v>70</v>
      </c>
      <c r="Q103">
        <v>1</v>
      </c>
      <c r="W103">
        <v>0</v>
      </c>
      <c r="X103">
        <v>1935795695</v>
      </c>
      <c r="Y103">
        <f t="shared" si="44"/>
        <v>1.208</v>
      </c>
      <c r="AA103">
        <v>4542.34</v>
      </c>
      <c r="AB103">
        <v>0</v>
      </c>
      <c r="AC103">
        <v>0</v>
      </c>
      <c r="AD103">
        <v>0</v>
      </c>
      <c r="AE103">
        <v>481.69</v>
      </c>
      <c r="AF103">
        <v>0</v>
      </c>
      <c r="AG103">
        <v>0</v>
      </c>
      <c r="AH103">
        <v>0</v>
      </c>
      <c r="AI103">
        <v>9.43</v>
      </c>
      <c r="AJ103">
        <v>1</v>
      </c>
      <c r="AK103">
        <v>1</v>
      </c>
      <c r="AL103">
        <v>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 t="s">
        <v>3</v>
      </c>
      <c r="AT103">
        <v>1.208</v>
      </c>
      <c r="AU103" t="s">
        <v>3</v>
      </c>
      <c r="AV103">
        <v>0</v>
      </c>
      <c r="AW103">
        <v>1</v>
      </c>
      <c r="AX103">
        <v>-1</v>
      </c>
      <c r="AY103">
        <v>0</v>
      </c>
      <c r="AZ103">
        <v>0</v>
      </c>
      <c r="BA103" t="s">
        <v>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ROUND(Y103*Source!I107,9)</f>
        <v>0.90600000000000003</v>
      </c>
      <c r="CY103">
        <f t="shared" si="47"/>
        <v>4542.34</v>
      </c>
      <c r="CZ103">
        <f t="shared" si="48"/>
        <v>481.69</v>
      </c>
      <c r="DA103">
        <f t="shared" si="49"/>
        <v>9.43</v>
      </c>
      <c r="DB103">
        <f t="shared" si="45"/>
        <v>581.88</v>
      </c>
      <c r="DC103">
        <f t="shared" si="46"/>
        <v>0</v>
      </c>
      <c r="DD103" t="s">
        <v>3</v>
      </c>
      <c r="DE103" t="s">
        <v>3</v>
      </c>
      <c r="DF103">
        <f t="shared" si="51"/>
        <v>4115.3599999999997</v>
      </c>
      <c r="DG103">
        <f t="shared" si="41"/>
        <v>0</v>
      </c>
      <c r="DH103">
        <f t="shared" si="42"/>
        <v>0</v>
      </c>
      <c r="DI103">
        <f t="shared" si="22"/>
        <v>0</v>
      </c>
      <c r="DJ103">
        <f t="shared" si="50"/>
        <v>4115.3599999999997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ROW(Source!A107)</f>
        <v>107</v>
      </c>
      <c r="B104">
        <v>53860087</v>
      </c>
      <c r="C104">
        <v>53860498</v>
      </c>
      <c r="D104">
        <v>29574131</v>
      </c>
      <c r="E104">
        <v>1</v>
      </c>
      <c r="F104">
        <v>1</v>
      </c>
      <c r="G104">
        <v>29506949</v>
      </c>
      <c r="H104">
        <v>3</v>
      </c>
      <c r="I104" t="s">
        <v>73</v>
      </c>
      <c r="J104" t="s">
        <v>76</v>
      </c>
      <c r="K104" t="s">
        <v>263</v>
      </c>
      <c r="L104">
        <v>1348</v>
      </c>
      <c r="N104">
        <v>1009</v>
      </c>
      <c r="O104" t="s">
        <v>75</v>
      </c>
      <c r="P104" t="s">
        <v>75</v>
      </c>
      <c r="Q104">
        <v>1000</v>
      </c>
      <c r="W104">
        <v>0</v>
      </c>
      <c r="X104">
        <v>-1764562027</v>
      </c>
      <c r="Y104">
        <f t="shared" si="44"/>
        <v>0.48</v>
      </c>
      <c r="AA104">
        <v>11185.3</v>
      </c>
      <c r="AB104">
        <v>0</v>
      </c>
      <c r="AC104">
        <v>0</v>
      </c>
      <c r="AD104">
        <v>0</v>
      </c>
      <c r="AE104">
        <v>1517.68</v>
      </c>
      <c r="AF104">
        <v>0</v>
      </c>
      <c r="AG104">
        <v>0</v>
      </c>
      <c r="AH104">
        <v>0</v>
      </c>
      <c r="AI104">
        <v>7.37</v>
      </c>
      <c r="AJ104">
        <v>1</v>
      </c>
      <c r="AK104">
        <v>1</v>
      </c>
      <c r="AL104">
        <v>1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 t="s">
        <v>3</v>
      </c>
      <c r="AT104">
        <v>0.48</v>
      </c>
      <c r="AU104" t="s">
        <v>3</v>
      </c>
      <c r="AV104">
        <v>0</v>
      </c>
      <c r="AW104">
        <v>1</v>
      </c>
      <c r="AX104">
        <v>-1</v>
      </c>
      <c r="AY104">
        <v>0</v>
      </c>
      <c r="AZ104">
        <v>0</v>
      </c>
      <c r="BA104" t="s">
        <v>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ROUND(Y104*Source!I107,9)</f>
        <v>0.36</v>
      </c>
      <c r="CY104">
        <f t="shared" si="47"/>
        <v>11185.3</v>
      </c>
      <c r="CZ104">
        <f t="shared" si="48"/>
        <v>1517.68</v>
      </c>
      <c r="DA104">
        <f t="shared" si="49"/>
        <v>7.37</v>
      </c>
      <c r="DB104">
        <f t="shared" si="45"/>
        <v>728.49</v>
      </c>
      <c r="DC104">
        <f t="shared" si="46"/>
        <v>0</v>
      </c>
      <c r="DD104" t="s">
        <v>3</v>
      </c>
      <c r="DE104" t="s">
        <v>3</v>
      </c>
      <c r="DF104">
        <f t="shared" si="51"/>
        <v>4026.71</v>
      </c>
      <c r="DG104">
        <f t="shared" si="41"/>
        <v>0</v>
      </c>
      <c r="DH104">
        <f t="shared" si="42"/>
        <v>0</v>
      </c>
      <c r="DI104">
        <f t="shared" si="22"/>
        <v>0</v>
      </c>
      <c r="DJ104">
        <f t="shared" si="50"/>
        <v>4026.71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ROW(Source!A111)</f>
        <v>111</v>
      </c>
      <c r="B105">
        <v>53860087</v>
      </c>
      <c r="C105">
        <v>53860505</v>
      </c>
      <c r="D105">
        <v>33481859</v>
      </c>
      <c r="E105">
        <v>1</v>
      </c>
      <c r="F105">
        <v>1</v>
      </c>
      <c r="G105">
        <v>29506949</v>
      </c>
      <c r="H105">
        <v>3</v>
      </c>
      <c r="I105" t="s">
        <v>281</v>
      </c>
      <c r="J105" t="s">
        <v>283</v>
      </c>
      <c r="K105" t="s">
        <v>282</v>
      </c>
      <c r="L105">
        <v>1327</v>
      </c>
      <c r="N105">
        <v>1005</v>
      </c>
      <c r="O105" t="s">
        <v>100</v>
      </c>
      <c r="P105" t="s">
        <v>100</v>
      </c>
      <c r="Q105">
        <v>1</v>
      </c>
      <c r="W105">
        <v>0</v>
      </c>
      <c r="X105">
        <v>-297236416</v>
      </c>
      <c r="Y105">
        <f t="shared" si="44"/>
        <v>100</v>
      </c>
      <c r="AA105">
        <v>722.84</v>
      </c>
      <c r="AB105">
        <v>0</v>
      </c>
      <c r="AC105">
        <v>0</v>
      </c>
      <c r="AD105">
        <v>0</v>
      </c>
      <c r="AE105">
        <v>88.91</v>
      </c>
      <c r="AF105">
        <v>0</v>
      </c>
      <c r="AG105">
        <v>0</v>
      </c>
      <c r="AH105">
        <v>0</v>
      </c>
      <c r="AI105">
        <v>8.1300000000000008</v>
      </c>
      <c r="AJ105">
        <v>1</v>
      </c>
      <c r="AK105">
        <v>1</v>
      </c>
      <c r="AL105">
        <v>1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 t="s">
        <v>3</v>
      </c>
      <c r="AT105">
        <v>100</v>
      </c>
      <c r="AU105" t="s">
        <v>3</v>
      </c>
      <c r="AV105">
        <v>0</v>
      </c>
      <c r="AW105">
        <v>1</v>
      </c>
      <c r="AX105">
        <v>-1</v>
      </c>
      <c r="AY105">
        <v>0</v>
      </c>
      <c r="AZ105">
        <v>0</v>
      </c>
      <c r="BA105" t="s">
        <v>3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ROUND(Y105*Source!I111,9)</f>
        <v>75</v>
      </c>
      <c r="CY105">
        <f t="shared" si="47"/>
        <v>722.84</v>
      </c>
      <c r="CZ105">
        <f t="shared" si="48"/>
        <v>88.91</v>
      </c>
      <c r="DA105">
        <f t="shared" si="49"/>
        <v>8.1300000000000008</v>
      </c>
      <c r="DB105">
        <f t="shared" si="45"/>
        <v>8891</v>
      </c>
      <c r="DC105">
        <f t="shared" si="46"/>
        <v>0</v>
      </c>
      <c r="DD105" t="s">
        <v>3</v>
      </c>
      <c r="DE105" t="s">
        <v>3</v>
      </c>
      <c r="DF105">
        <f t="shared" si="51"/>
        <v>54213</v>
      </c>
      <c r="DG105">
        <f t="shared" si="41"/>
        <v>0</v>
      </c>
      <c r="DH105">
        <f t="shared" si="42"/>
        <v>0</v>
      </c>
      <c r="DI105">
        <f t="shared" si="22"/>
        <v>0</v>
      </c>
      <c r="DJ105">
        <f t="shared" si="50"/>
        <v>54213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ROW(Source!A111)</f>
        <v>111</v>
      </c>
      <c r="B106">
        <v>53860087</v>
      </c>
      <c r="C106">
        <v>53860505</v>
      </c>
      <c r="D106">
        <v>29574204</v>
      </c>
      <c r="E106">
        <v>1</v>
      </c>
      <c r="F106">
        <v>1</v>
      </c>
      <c r="G106">
        <v>29506949</v>
      </c>
      <c r="H106">
        <v>3</v>
      </c>
      <c r="I106" t="s">
        <v>273</v>
      </c>
      <c r="J106" t="s">
        <v>275</v>
      </c>
      <c r="K106" t="s">
        <v>274</v>
      </c>
      <c r="L106">
        <v>1348</v>
      </c>
      <c r="N106">
        <v>1009</v>
      </c>
      <c r="O106" t="s">
        <v>75</v>
      </c>
      <c r="P106" t="s">
        <v>75</v>
      </c>
      <c r="Q106">
        <v>1000</v>
      </c>
      <c r="W106">
        <v>0</v>
      </c>
      <c r="X106">
        <v>-941944029</v>
      </c>
      <c r="Y106">
        <f t="shared" si="44"/>
        <v>5.5E-2</v>
      </c>
      <c r="AA106">
        <v>91391.32</v>
      </c>
      <c r="AB106">
        <v>0</v>
      </c>
      <c r="AC106">
        <v>0</v>
      </c>
      <c r="AD106">
        <v>0</v>
      </c>
      <c r="AE106">
        <v>27362.67</v>
      </c>
      <c r="AF106">
        <v>0</v>
      </c>
      <c r="AG106">
        <v>0</v>
      </c>
      <c r="AH106">
        <v>0</v>
      </c>
      <c r="AI106">
        <v>3.34</v>
      </c>
      <c r="AJ106">
        <v>1</v>
      </c>
      <c r="AK106">
        <v>1</v>
      </c>
      <c r="AL106">
        <v>1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 t="s">
        <v>3</v>
      </c>
      <c r="AT106">
        <v>5.5E-2</v>
      </c>
      <c r="AU106" t="s">
        <v>3</v>
      </c>
      <c r="AV106">
        <v>0</v>
      </c>
      <c r="AW106">
        <v>1</v>
      </c>
      <c r="AX106">
        <v>-1</v>
      </c>
      <c r="AY106">
        <v>0</v>
      </c>
      <c r="AZ106">
        <v>0</v>
      </c>
      <c r="BA106" t="s">
        <v>3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ROUND(Y106*Source!I111,9)</f>
        <v>4.1250000000000002E-2</v>
      </c>
      <c r="CY106">
        <f t="shared" si="47"/>
        <v>91391.32</v>
      </c>
      <c r="CZ106">
        <f t="shared" si="48"/>
        <v>27362.67</v>
      </c>
      <c r="DA106">
        <f t="shared" si="49"/>
        <v>3.34</v>
      </c>
      <c r="DB106">
        <f t="shared" si="45"/>
        <v>1504.95</v>
      </c>
      <c r="DC106">
        <f t="shared" si="46"/>
        <v>0</v>
      </c>
      <c r="DD106" t="s">
        <v>3</v>
      </c>
      <c r="DE106" t="s">
        <v>3</v>
      </c>
      <c r="DF106">
        <f t="shared" si="51"/>
        <v>3769.89</v>
      </c>
      <c r="DG106">
        <f t="shared" si="41"/>
        <v>0</v>
      </c>
      <c r="DH106">
        <f t="shared" si="42"/>
        <v>0</v>
      </c>
      <c r="DI106">
        <f t="shared" si="22"/>
        <v>0</v>
      </c>
      <c r="DJ106">
        <f t="shared" si="50"/>
        <v>3769.89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ROW(Source!A111)</f>
        <v>111</v>
      </c>
      <c r="B107">
        <v>53860087</v>
      </c>
      <c r="C107">
        <v>53860505</v>
      </c>
      <c r="D107">
        <v>29574231</v>
      </c>
      <c r="E107">
        <v>1</v>
      </c>
      <c r="F107">
        <v>1</v>
      </c>
      <c r="G107">
        <v>29506949</v>
      </c>
      <c r="H107">
        <v>3</v>
      </c>
      <c r="I107" t="s">
        <v>277</v>
      </c>
      <c r="J107" t="s">
        <v>279</v>
      </c>
      <c r="K107" t="s">
        <v>278</v>
      </c>
      <c r="L107">
        <v>1348</v>
      </c>
      <c r="N107">
        <v>1009</v>
      </c>
      <c r="O107" t="s">
        <v>75</v>
      </c>
      <c r="P107" t="s">
        <v>75</v>
      </c>
      <c r="Q107">
        <v>1000</v>
      </c>
      <c r="W107">
        <v>0</v>
      </c>
      <c r="X107">
        <v>709029648</v>
      </c>
      <c r="Y107">
        <f t="shared" si="44"/>
        <v>0.375</v>
      </c>
      <c r="AA107">
        <v>12510.63</v>
      </c>
      <c r="AB107">
        <v>0</v>
      </c>
      <c r="AC107">
        <v>0</v>
      </c>
      <c r="AD107">
        <v>0</v>
      </c>
      <c r="AE107">
        <v>3971.63</v>
      </c>
      <c r="AF107">
        <v>0</v>
      </c>
      <c r="AG107">
        <v>0</v>
      </c>
      <c r="AH107">
        <v>0</v>
      </c>
      <c r="AI107">
        <v>3.15</v>
      </c>
      <c r="AJ107">
        <v>1</v>
      </c>
      <c r="AK107">
        <v>1</v>
      </c>
      <c r="AL107">
        <v>1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 t="s">
        <v>3</v>
      </c>
      <c r="AT107">
        <v>0.375</v>
      </c>
      <c r="AU107" t="s">
        <v>3</v>
      </c>
      <c r="AV107">
        <v>0</v>
      </c>
      <c r="AW107">
        <v>1</v>
      </c>
      <c r="AX107">
        <v>-1</v>
      </c>
      <c r="AY107">
        <v>0</v>
      </c>
      <c r="AZ107">
        <v>0</v>
      </c>
      <c r="BA107" t="s">
        <v>3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ROUND(Y107*Source!I111,9)</f>
        <v>0.28125</v>
      </c>
      <c r="CY107">
        <f t="shared" si="47"/>
        <v>12510.63</v>
      </c>
      <c r="CZ107">
        <f t="shared" si="48"/>
        <v>3971.63</v>
      </c>
      <c r="DA107">
        <f t="shared" si="49"/>
        <v>3.15</v>
      </c>
      <c r="DB107">
        <f t="shared" si="45"/>
        <v>1489.36</v>
      </c>
      <c r="DC107">
        <f t="shared" si="46"/>
        <v>0</v>
      </c>
      <c r="DD107" t="s">
        <v>3</v>
      </c>
      <c r="DE107" t="s">
        <v>3</v>
      </c>
      <c r="DF107">
        <f t="shared" si="51"/>
        <v>3518.61</v>
      </c>
      <c r="DG107">
        <f t="shared" si="41"/>
        <v>0</v>
      </c>
      <c r="DH107">
        <f t="shared" si="42"/>
        <v>0</v>
      </c>
      <c r="DI107">
        <f t="shared" si="22"/>
        <v>0</v>
      </c>
      <c r="DJ107">
        <f t="shared" si="50"/>
        <v>3518.61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ROW(Source!A115)</f>
        <v>115</v>
      </c>
      <c r="B108">
        <v>53860087</v>
      </c>
      <c r="C108">
        <v>53860512</v>
      </c>
      <c r="D108">
        <v>29506954</v>
      </c>
      <c r="E108">
        <v>29506949</v>
      </c>
      <c r="F108">
        <v>1</v>
      </c>
      <c r="G108">
        <v>29506949</v>
      </c>
      <c r="H108">
        <v>1</v>
      </c>
      <c r="I108" t="s">
        <v>638</v>
      </c>
      <c r="J108" t="s">
        <v>3</v>
      </c>
      <c r="K108" t="s">
        <v>639</v>
      </c>
      <c r="L108">
        <v>1191</v>
      </c>
      <c r="N108">
        <v>1013</v>
      </c>
      <c r="O108" t="s">
        <v>640</v>
      </c>
      <c r="P108" t="s">
        <v>640</v>
      </c>
      <c r="Q108">
        <v>1</v>
      </c>
      <c r="W108">
        <v>0</v>
      </c>
      <c r="X108">
        <v>476480486</v>
      </c>
      <c r="Y108">
        <f>(AT108*1.15)</f>
        <v>85.1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74</v>
      </c>
      <c r="AU108" t="s">
        <v>52</v>
      </c>
      <c r="AV108">
        <v>1</v>
      </c>
      <c r="AW108">
        <v>2</v>
      </c>
      <c r="AX108">
        <v>53861199</v>
      </c>
      <c r="AY108">
        <v>1</v>
      </c>
      <c r="AZ108">
        <v>0</v>
      </c>
      <c r="BA108">
        <v>178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U108">
        <f>ROUND(AT108*Source!I115*AH108*AL108,2)</f>
        <v>0</v>
      </c>
      <c r="CV108">
        <f>ROUND(Y108*Source!I115,9)</f>
        <v>127.65</v>
      </c>
      <c r="CW108">
        <v>0</v>
      </c>
      <c r="CX108">
        <f>ROUND(Y108*Source!I115,9)</f>
        <v>127.65</v>
      </c>
      <c r="CY108">
        <f>AD108</f>
        <v>0</v>
      </c>
      <c r="CZ108">
        <f>AH108</f>
        <v>0</v>
      </c>
      <c r="DA108">
        <f>AL108</f>
        <v>1</v>
      </c>
      <c r="DB108">
        <f>ROUND((ROUND(AT108*CZ108,2)*1.15),6)</f>
        <v>0</v>
      </c>
      <c r="DC108">
        <f>ROUND((ROUND(AT108*AG108,2)*1.15),6)</f>
        <v>0</v>
      </c>
      <c r="DD108" t="s">
        <v>3</v>
      </c>
      <c r="DE108" t="s">
        <v>3</v>
      </c>
      <c r="DF108">
        <f>ROUND(ROUND(AE108,2)*CX108,2)</f>
        <v>0</v>
      </c>
      <c r="DG108">
        <f t="shared" si="41"/>
        <v>0</v>
      </c>
      <c r="DH108">
        <f t="shared" si="42"/>
        <v>0</v>
      </c>
      <c r="DI108">
        <f t="shared" si="22"/>
        <v>0</v>
      </c>
      <c r="DJ108">
        <f>DI108</f>
        <v>0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ROW(Source!A115)</f>
        <v>115</v>
      </c>
      <c r="B109">
        <v>53860087</v>
      </c>
      <c r="C109">
        <v>53860512</v>
      </c>
      <c r="D109">
        <v>29580006</v>
      </c>
      <c r="E109">
        <v>1</v>
      </c>
      <c r="F109">
        <v>1</v>
      </c>
      <c r="G109">
        <v>29506949</v>
      </c>
      <c r="H109">
        <v>2</v>
      </c>
      <c r="I109" t="s">
        <v>742</v>
      </c>
      <c r="J109" t="s">
        <v>743</v>
      </c>
      <c r="K109" t="s">
        <v>744</v>
      </c>
      <c r="L109">
        <v>1368</v>
      </c>
      <c r="N109">
        <v>1011</v>
      </c>
      <c r="O109" t="s">
        <v>647</v>
      </c>
      <c r="P109" t="s">
        <v>647</v>
      </c>
      <c r="Q109">
        <v>1</v>
      </c>
      <c r="W109">
        <v>0</v>
      </c>
      <c r="X109">
        <v>-1826794689</v>
      </c>
      <c r="Y109">
        <f>(AT109*1.25)</f>
        <v>5.875</v>
      </c>
      <c r="AA109">
        <v>0</v>
      </c>
      <c r="AB109">
        <v>428.61</v>
      </c>
      <c r="AC109">
        <v>344.93</v>
      </c>
      <c r="AD109">
        <v>0</v>
      </c>
      <c r="AE109">
        <v>0</v>
      </c>
      <c r="AF109">
        <v>16.45</v>
      </c>
      <c r="AG109">
        <v>11.18</v>
      </c>
      <c r="AH109">
        <v>0</v>
      </c>
      <c r="AI109">
        <v>1</v>
      </c>
      <c r="AJ109">
        <v>25.42</v>
      </c>
      <c r="AK109">
        <v>30.1</v>
      </c>
      <c r="AL109">
        <v>1</v>
      </c>
      <c r="AM109">
        <v>2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4.7</v>
      </c>
      <c r="AU109" t="s">
        <v>51</v>
      </c>
      <c r="AV109">
        <v>0</v>
      </c>
      <c r="AW109">
        <v>2</v>
      </c>
      <c r="AX109">
        <v>53861203</v>
      </c>
      <c r="AY109">
        <v>1</v>
      </c>
      <c r="AZ109">
        <v>0</v>
      </c>
      <c r="BA109">
        <v>182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f>ROUND(Y109*Source!I115,9)</f>
        <v>8.8125</v>
      </c>
      <c r="CX109">
        <f>ROUND(Y109*Source!I115,9)</f>
        <v>8.8125</v>
      </c>
      <c r="CY109">
        <f>AB109</f>
        <v>428.61</v>
      </c>
      <c r="CZ109">
        <f>AF109</f>
        <v>16.45</v>
      </c>
      <c r="DA109">
        <f>AJ109</f>
        <v>25.42</v>
      </c>
      <c r="DB109">
        <f>ROUND((ROUND(AT109*CZ109,2)*1.25),6)</f>
        <v>96.65</v>
      </c>
      <c r="DC109">
        <f>ROUND((ROUND(AT109*AG109,2)*1.25),6)</f>
        <v>65.6875</v>
      </c>
      <c r="DD109" t="s">
        <v>3</v>
      </c>
      <c r="DE109" t="s">
        <v>3</v>
      </c>
      <c r="DF109">
        <f>ROUND(ROUND(AE109,2)*CX109,2)</f>
        <v>0</v>
      </c>
      <c r="DG109">
        <f>ROUND(ROUND(AF109*AJ109,2)*CX109,2)</f>
        <v>3685.04</v>
      </c>
      <c r="DH109">
        <f>ROUND(ROUND(AG109*AK109,2)*CX109,2)</f>
        <v>2965.58</v>
      </c>
      <c r="DI109">
        <f t="shared" si="22"/>
        <v>0</v>
      </c>
      <c r="DJ109">
        <f>DG109</f>
        <v>3685.04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ROW(Source!A115)</f>
        <v>115</v>
      </c>
      <c r="B110">
        <v>53860087</v>
      </c>
      <c r="C110">
        <v>53860512</v>
      </c>
      <c r="D110">
        <v>29507683</v>
      </c>
      <c r="E110">
        <v>29506949</v>
      </c>
      <c r="F110">
        <v>1</v>
      </c>
      <c r="G110">
        <v>29506949</v>
      </c>
      <c r="H110">
        <v>2</v>
      </c>
      <c r="I110" t="s">
        <v>641</v>
      </c>
      <c r="J110" t="s">
        <v>3</v>
      </c>
      <c r="K110" t="s">
        <v>642</v>
      </c>
      <c r="L110">
        <v>1344</v>
      </c>
      <c r="N110">
        <v>1008</v>
      </c>
      <c r="O110" t="s">
        <v>643</v>
      </c>
      <c r="P110" t="s">
        <v>643</v>
      </c>
      <c r="Q110">
        <v>1</v>
      </c>
      <c r="W110">
        <v>0</v>
      </c>
      <c r="X110">
        <v>-1180195794</v>
      </c>
      <c r="Y110">
        <f>(AT110*1.25)</f>
        <v>43.724999999999994</v>
      </c>
      <c r="AA110">
        <v>0</v>
      </c>
      <c r="AB110">
        <v>1.03</v>
      </c>
      <c r="AC110">
        <v>0</v>
      </c>
      <c r="AD110">
        <v>0</v>
      </c>
      <c r="AE110">
        <v>0</v>
      </c>
      <c r="AF110">
        <v>1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34.979999999999997</v>
      </c>
      <c r="AU110" t="s">
        <v>51</v>
      </c>
      <c r="AV110">
        <v>0</v>
      </c>
      <c r="AW110">
        <v>1</v>
      </c>
      <c r="AX110">
        <v>-1</v>
      </c>
      <c r="AY110">
        <v>0</v>
      </c>
      <c r="AZ110">
        <v>0</v>
      </c>
      <c r="BA110" t="s">
        <v>3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f>ROUND(Y110*Source!I115,9)</f>
        <v>65.587500000000006</v>
      </c>
      <c r="CX110">
        <f>ROUND(Y110*Source!I115,9)</f>
        <v>65.587500000000006</v>
      </c>
      <c r="CY110">
        <f>AB110</f>
        <v>1.03</v>
      </c>
      <c r="CZ110">
        <f>AF110</f>
        <v>1</v>
      </c>
      <c r="DA110">
        <f>AJ110</f>
        <v>1</v>
      </c>
      <c r="DB110">
        <f>ROUND((ROUND(AT110*CZ110,2)*1.25),6)</f>
        <v>43.725000000000001</v>
      </c>
      <c r="DC110">
        <f>ROUND((ROUND(AT110*AG110,2)*1.25),6)</f>
        <v>0</v>
      </c>
      <c r="DD110" t="s">
        <v>3</v>
      </c>
      <c r="DE110" t="s">
        <v>3</v>
      </c>
      <c r="DF110">
        <f>ROUND(ROUND(AE110,2)*CX110,2)</f>
        <v>0</v>
      </c>
      <c r="DG110">
        <f t="shared" ref="DG110:DG115" si="52">ROUND(ROUND(AF110,2)*CX110,2)</f>
        <v>65.59</v>
      </c>
      <c r="DH110">
        <f t="shared" ref="DH110:DH115" si="53">ROUND(ROUND(AG110,2)*CX110,2)</f>
        <v>0</v>
      </c>
      <c r="DI110">
        <f t="shared" si="22"/>
        <v>0</v>
      </c>
      <c r="DJ110">
        <f>DG110</f>
        <v>65.59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ROW(Source!A115)</f>
        <v>115</v>
      </c>
      <c r="B111">
        <v>53860087</v>
      </c>
      <c r="C111">
        <v>53860512</v>
      </c>
      <c r="D111">
        <v>29556396</v>
      </c>
      <c r="E111">
        <v>1</v>
      </c>
      <c r="F111">
        <v>1</v>
      </c>
      <c r="G111">
        <v>29506949</v>
      </c>
      <c r="H111">
        <v>3</v>
      </c>
      <c r="I111" t="s">
        <v>745</v>
      </c>
      <c r="J111" t="s">
        <v>746</v>
      </c>
      <c r="K111" t="s">
        <v>747</v>
      </c>
      <c r="L111">
        <v>1327</v>
      </c>
      <c r="N111">
        <v>1005</v>
      </c>
      <c r="O111" t="s">
        <v>100</v>
      </c>
      <c r="P111" t="s">
        <v>100</v>
      </c>
      <c r="Q111">
        <v>1</v>
      </c>
      <c r="W111">
        <v>0</v>
      </c>
      <c r="X111">
        <v>-734155594</v>
      </c>
      <c r="Y111">
        <f>AT111</f>
        <v>5.54</v>
      </c>
      <c r="AA111">
        <v>988.01</v>
      </c>
      <c r="AB111">
        <v>0</v>
      </c>
      <c r="AC111">
        <v>0</v>
      </c>
      <c r="AD111">
        <v>0</v>
      </c>
      <c r="AE111">
        <v>33.56</v>
      </c>
      <c r="AF111">
        <v>0</v>
      </c>
      <c r="AG111">
        <v>0</v>
      </c>
      <c r="AH111">
        <v>0</v>
      </c>
      <c r="AI111">
        <v>29.44</v>
      </c>
      <c r="AJ111">
        <v>1</v>
      </c>
      <c r="AK111">
        <v>1</v>
      </c>
      <c r="AL111">
        <v>1</v>
      </c>
      <c r="AM111">
        <v>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5.54</v>
      </c>
      <c r="AU111" t="s">
        <v>3</v>
      </c>
      <c r="AV111">
        <v>0</v>
      </c>
      <c r="AW111">
        <v>2</v>
      </c>
      <c r="AX111">
        <v>53861205</v>
      </c>
      <c r="AY111">
        <v>1</v>
      </c>
      <c r="AZ111">
        <v>0</v>
      </c>
      <c r="BA111">
        <v>184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ROUND(Y111*Source!I115,9)</f>
        <v>8.31</v>
      </c>
      <c r="CY111">
        <f>AA111</f>
        <v>988.01</v>
      </c>
      <c r="CZ111">
        <f>AE111</f>
        <v>33.56</v>
      </c>
      <c r="DA111">
        <f>AI111</f>
        <v>29.44</v>
      </c>
      <c r="DB111">
        <f>ROUND(ROUND(AT111*CZ111,2),6)</f>
        <v>185.92</v>
      </c>
      <c r="DC111">
        <f>ROUND(ROUND(AT111*AG111,2),6)</f>
        <v>0</v>
      </c>
      <c r="DD111" t="s">
        <v>3</v>
      </c>
      <c r="DE111" t="s">
        <v>3</v>
      </c>
      <c r="DF111">
        <f>ROUND(ROUND(AE111*AI111,2)*CX111,2)</f>
        <v>8210.36</v>
      </c>
      <c r="DG111">
        <f t="shared" si="52"/>
        <v>0</v>
      </c>
      <c r="DH111">
        <f t="shared" si="53"/>
        <v>0</v>
      </c>
      <c r="DI111">
        <f t="shared" si="22"/>
        <v>0</v>
      </c>
      <c r="DJ111">
        <f>DF111</f>
        <v>8210.36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ROW(Source!A115)</f>
        <v>115</v>
      </c>
      <c r="B112">
        <v>53860087</v>
      </c>
      <c r="C112">
        <v>53860512</v>
      </c>
      <c r="D112">
        <v>29555598</v>
      </c>
      <c r="E112">
        <v>1</v>
      </c>
      <c r="F112">
        <v>1</v>
      </c>
      <c r="G112">
        <v>29506949</v>
      </c>
      <c r="H112">
        <v>3</v>
      </c>
      <c r="I112" t="s">
        <v>68</v>
      </c>
      <c r="J112" t="s">
        <v>71</v>
      </c>
      <c r="K112" t="s">
        <v>69</v>
      </c>
      <c r="L112">
        <v>1339</v>
      </c>
      <c r="N112">
        <v>1007</v>
      </c>
      <c r="O112" t="s">
        <v>70</v>
      </c>
      <c r="P112" t="s">
        <v>70</v>
      </c>
      <c r="Q112">
        <v>1</v>
      </c>
      <c r="W112">
        <v>0</v>
      </c>
      <c r="X112">
        <v>-862991314</v>
      </c>
      <c r="Y112">
        <f>AT112</f>
        <v>0.10471999999999999</v>
      </c>
      <c r="AA112">
        <v>42.42</v>
      </c>
      <c r="AB112">
        <v>0</v>
      </c>
      <c r="AC112">
        <v>0</v>
      </c>
      <c r="AD112">
        <v>0</v>
      </c>
      <c r="AE112">
        <v>7.07</v>
      </c>
      <c r="AF112">
        <v>0</v>
      </c>
      <c r="AG112">
        <v>0</v>
      </c>
      <c r="AH112">
        <v>0</v>
      </c>
      <c r="AI112">
        <v>6</v>
      </c>
      <c r="AJ112">
        <v>1</v>
      </c>
      <c r="AK112">
        <v>1</v>
      </c>
      <c r="AL112">
        <v>1</v>
      </c>
      <c r="AM112">
        <v>0</v>
      </c>
      <c r="AN112">
        <v>0</v>
      </c>
      <c r="AO112">
        <v>0</v>
      </c>
      <c r="AP112">
        <v>1</v>
      </c>
      <c r="AQ112">
        <v>0</v>
      </c>
      <c r="AR112">
        <v>0</v>
      </c>
      <c r="AS112" t="s">
        <v>3</v>
      </c>
      <c r="AT112">
        <v>0.10471999999999999</v>
      </c>
      <c r="AU112" t="s">
        <v>3</v>
      </c>
      <c r="AV112">
        <v>0</v>
      </c>
      <c r="AW112">
        <v>1</v>
      </c>
      <c r="AX112">
        <v>-1</v>
      </c>
      <c r="AY112">
        <v>0</v>
      </c>
      <c r="AZ112">
        <v>0</v>
      </c>
      <c r="BA112" t="s">
        <v>3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ROUND(Y112*Source!I115,9)</f>
        <v>0.15708</v>
      </c>
      <c r="CY112">
        <f>AA112</f>
        <v>42.42</v>
      </c>
      <c r="CZ112">
        <f>AE112</f>
        <v>7.07</v>
      </c>
      <c r="DA112">
        <f>AI112</f>
        <v>6</v>
      </c>
      <c r="DB112">
        <f>ROUND(ROUND(AT112*CZ112,2),6)</f>
        <v>0.74</v>
      </c>
      <c r="DC112">
        <f>ROUND(ROUND(AT112*AG112,2),6)</f>
        <v>0</v>
      </c>
      <c r="DD112" t="s">
        <v>3</v>
      </c>
      <c r="DE112" t="s">
        <v>3</v>
      </c>
      <c r="DF112">
        <f>ROUND(ROUND(AE112*AI112,2)*CX112,2)</f>
        <v>6.66</v>
      </c>
      <c r="DG112">
        <f t="shared" si="52"/>
        <v>0</v>
      </c>
      <c r="DH112">
        <f t="shared" si="53"/>
        <v>0</v>
      </c>
      <c r="DI112">
        <f t="shared" si="22"/>
        <v>0</v>
      </c>
      <c r="DJ112">
        <f>DF112</f>
        <v>6.66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ROW(Source!A115)</f>
        <v>115</v>
      </c>
      <c r="B113">
        <v>53860087</v>
      </c>
      <c r="C113">
        <v>53860512</v>
      </c>
      <c r="D113">
        <v>29574116</v>
      </c>
      <c r="E113">
        <v>1</v>
      </c>
      <c r="F113">
        <v>1</v>
      </c>
      <c r="G113">
        <v>29506949</v>
      </c>
      <c r="H113">
        <v>3</v>
      </c>
      <c r="I113" t="s">
        <v>78</v>
      </c>
      <c r="J113" t="s">
        <v>80</v>
      </c>
      <c r="K113" t="s">
        <v>79</v>
      </c>
      <c r="L113">
        <v>1339</v>
      </c>
      <c r="N113">
        <v>1007</v>
      </c>
      <c r="O113" t="s">
        <v>70</v>
      </c>
      <c r="P113" t="s">
        <v>70</v>
      </c>
      <c r="Q113">
        <v>1</v>
      </c>
      <c r="W113">
        <v>0</v>
      </c>
      <c r="X113">
        <v>847230343</v>
      </c>
      <c r="Y113">
        <f>AT113</f>
        <v>1.496</v>
      </c>
      <c r="AA113">
        <v>4542.34</v>
      </c>
      <c r="AB113">
        <v>0</v>
      </c>
      <c r="AC113">
        <v>0</v>
      </c>
      <c r="AD113">
        <v>0</v>
      </c>
      <c r="AE113">
        <v>481.69</v>
      </c>
      <c r="AF113">
        <v>0</v>
      </c>
      <c r="AG113">
        <v>0</v>
      </c>
      <c r="AH113">
        <v>0</v>
      </c>
      <c r="AI113">
        <v>9.43</v>
      </c>
      <c r="AJ113">
        <v>1</v>
      </c>
      <c r="AK113">
        <v>1</v>
      </c>
      <c r="AL113">
        <v>1</v>
      </c>
      <c r="AM113">
        <v>0</v>
      </c>
      <c r="AN113">
        <v>0</v>
      </c>
      <c r="AO113">
        <v>0</v>
      </c>
      <c r="AP113">
        <v>1</v>
      </c>
      <c r="AQ113">
        <v>0</v>
      </c>
      <c r="AR113">
        <v>0</v>
      </c>
      <c r="AS113" t="s">
        <v>3</v>
      </c>
      <c r="AT113">
        <v>1.496</v>
      </c>
      <c r="AU113" t="s">
        <v>3</v>
      </c>
      <c r="AV113">
        <v>0</v>
      </c>
      <c r="AW113">
        <v>1</v>
      </c>
      <c r="AX113">
        <v>-1</v>
      </c>
      <c r="AY113">
        <v>0</v>
      </c>
      <c r="AZ113">
        <v>0</v>
      </c>
      <c r="BA113" t="s">
        <v>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ROUND(Y113*Source!I115,9)</f>
        <v>2.2440000000000002</v>
      </c>
      <c r="CY113">
        <f>AA113</f>
        <v>4542.34</v>
      </c>
      <c r="CZ113">
        <f>AE113</f>
        <v>481.69</v>
      </c>
      <c r="DA113">
        <f>AI113</f>
        <v>9.43</v>
      </c>
      <c r="DB113">
        <f>ROUND(ROUND(AT113*CZ113,2),6)</f>
        <v>720.61</v>
      </c>
      <c r="DC113">
        <f>ROUND(ROUND(AT113*AG113,2),6)</f>
        <v>0</v>
      </c>
      <c r="DD113" t="s">
        <v>3</v>
      </c>
      <c r="DE113" t="s">
        <v>3</v>
      </c>
      <c r="DF113">
        <f>ROUND(ROUND(AE113*AI113,2)*CX113,2)</f>
        <v>10193.01</v>
      </c>
      <c r="DG113">
        <f t="shared" si="52"/>
        <v>0</v>
      </c>
      <c r="DH113">
        <f t="shared" si="53"/>
        <v>0</v>
      </c>
      <c r="DI113">
        <f t="shared" si="22"/>
        <v>0</v>
      </c>
      <c r="DJ113">
        <f>DF113</f>
        <v>10193.01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ROW(Source!A115)</f>
        <v>115</v>
      </c>
      <c r="B114">
        <v>53860087</v>
      </c>
      <c r="C114">
        <v>53860512</v>
      </c>
      <c r="D114">
        <v>29574131</v>
      </c>
      <c r="E114">
        <v>1</v>
      </c>
      <c r="F114">
        <v>1</v>
      </c>
      <c r="G114">
        <v>29506949</v>
      </c>
      <c r="H114">
        <v>3</v>
      </c>
      <c r="I114" t="s">
        <v>73</v>
      </c>
      <c r="J114" t="s">
        <v>76</v>
      </c>
      <c r="K114" t="s">
        <v>74</v>
      </c>
      <c r="L114">
        <v>1348</v>
      </c>
      <c r="N114">
        <v>1009</v>
      </c>
      <c r="O114" t="s">
        <v>75</v>
      </c>
      <c r="P114" t="s">
        <v>75</v>
      </c>
      <c r="Q114">
        <v>1000</v>
      </c>
      <c r="W114">
        <v>0</v>
      </c>
      <c r="X114">
        <v>-1727448689</v>
      </c>
      <c r="Y114">
        <f>AT114</f>
        <v>0.59840000000000004</v>
      </c>
      <c r="AA114">
        <v>11185.3</v>
      </c>
      <c r="AB114">
        <v>0</v>
      </c>
      <c r="AC114">
        <v>0</v>
      </c>
      <c r="AD114">
        <v>0</v>
      </c>
      <c r="AE114">
        <v>1517.68</v>
      </c>
      <c r="AF114">
        <v>0</v>
      </c>
      <c r="AG114">
        <v>0</v>
      </c>
      <c r="AH114">
        <v>0</v>
      </c>
      <c r="AI114">
        <v>7.37</v>
      </c>
      <c r="AJ114">
        <v>1</v>
      </c>
      <c r="AK114">
        <v>1</v>
      </c>
      <c r="AL114">
        <v>1</v>
      </c>
      <c r="AM114">
        <v>0</v>
      </c>
      <c r="AN114">
        <v>0</v>
      </c>
      <c r="AO114">
        <v>0</v>
      </c>
      <c r="AP114">
        <v>1</v>
      </c>
      <c r="AQ114">
        <v>0</v>
      </c>
      <c r="AR114">
        <v>0</v>
      </c>
      <c r="AS114" t="s">
        <v>3</v>
      </c>
      <c r="AT114">
        <v>0.59840000000000004</v>
      </c>
      <c r="AU114" t="s">
        <v>3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3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ROUND(Y114*Source!I115,9)</f>
        <v>0.89759999999999995</v>
      </c>
      <c r="CY114">
        <f>AA114</f>
        <v>11185.3</v>
      </c>
      <c r="CZ114">
        <f>AE114</f>
        <v>1517.68</v>
      </c>
      <c r="DA114">
        <f>AI114</f>
        <v>7.37</v>
      </c>
      <c r="DB114">
        <f>ROUND(ROUND(AT114*CZ114,2),6)</f>
        <v>908.18</v>
      </c>
      <c r="DC114">
        <f>ROUND(ROUND(AT114*AG114,2),6)</f>
        <v>0</v>
      </c>
      <c r="DD114" t="s">
        <v>3</v>
      </c>
      <c r="DE114" t="s">
        <v>3</v>
      </c>
      <c r="DF114">
        <f>ROUND(ROUND(AE114*AI114,2)*CX114,2)</f>
        <v>10039.93</v>
      </c>
      <c r="DG114">
        <f t="shared" si="52"/>
        <v>0</v>
      </c>
      <c r="DH114">
        <f t="shared" si="53"/>
        <v>0</v>
      </c>
      <c r="DI114">
        <f t="shared" si="22"/>
        <v>0</v>
      </c>
      <c r="DJ114">
        <f>DF114</f>
        <v>10039.93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ROW(Source!A119)</f>
        <v>119</v>
      </c>
      <c r="B115">
        <v>53860087</v>
      </c>
      <c r="C115">
        <v>53860530</v>
      </c>
      <c r="D115">
        <v>29506954</v>
      </c>
      <c r="E115">
        <v>29506949</v>
      </c>
      <c r="F115">
        <v>1</v>
      </c>
      <c r="G115">
        <v>29506949</v>
      </c>
      <c r="H115">
        <v>1</v>
      </c>
      <c r="I115" t="s">
        <v>638</v>
      </c>
      <c r="J115" t="s">
        <v>3</v>
      </c>
      <c r="K115" t="s">
        <v>639</v>
      </c>
      <c r="L115">
        <v>1191</v>
      </c>
      <c r="N115">
        <v>1013</v>
      </c>
      <c r="O115" t="s">
        <v>640</v>
      </c>
      <c r="P115" t="s">
        <v>640</v>
      </c>
      <c r="Q115">
        <v>1</v>
      </c>
      <c r="W115">
        <v>0</v>
      </c>
      <c r="X115">
        <v>476480486</v>
      </c>
      <c r="Y115">
        <f>(AT115*1.15)</f>
        <v>50.094000000000001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43.56</v>
      </c>
      <c r="AU115" t="s">
        <v>52</v>
      </c>
      <c r="AV115">
        <v>1</v>
      </c>
      <c r="AW115">
        <v>2</v>
      </c>
      <c r="AX115">
        <v>53861210</v>
      </c>
      <c r="AY115">
        <v>1</v>
      </c>
      <c r="AZ115">
        <v>0</v>
      </c>
      <c r="BA115">
        <v>189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U115">
        <f>ROUND(AT115*Source!I119*AH115*AL115,2)</f>
        <v>0</v>
      </c>
      <c r="CV115">
        <f>ROUND(Y115*Source!I119,9)</f>
        <v>75.141000000000005</v>
      </c>
      <c r="CW115">
        <v>0</v>
      </c>
      <c r="CX115">
        <f>ROUND(Y115*Source!I119,9)</f>
        <v>75.141000000000005</v>
      </c>
      <c r="CY115">
        <f>AD115</f>
        <v>0</v>
      </c>
      <c r="CZ115">
        <f>AH115</f>
        <v>0</v>
      </c>
      <c r="DA115">
        <f>AL115</f>
        <v>1</v>
      </c>
      <c r="DB115">
        <f>ROUND((ROUND(AT115*CZ115,2)*1.15),6)</f>
        <v>0</v>
      </c>
      <c r="DC115">
        <f>ROUND((ROUND(AT115*AG115,2)*1.15),6)</f>
        <v>0</v>
      </c>
      <c r="DD115" t="s">
        <v>3</v>
      </c>
      <c r="DE115" t="s">
        <v>3</v>
      </c>
      <c r="DF115">
        <f>ROUND(ROUND(AE115,2)*CX115,2)</f>
        <v>0</v>
      </c>
      <c r="DG115">
        <f t="shared" si="52"/>
        <v>0</v>
      </c>
      <c r="DH115">
        <f t="shared" si="53"/>
        <v>0</v>
      </c>
      <c r="DI115">
        <f t="shared" si="22"/>
        <v>0</v>
      </c>
      <c r="DJ115">
        <f>DI115</f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ROW(Source!A119)</f>
        <v>119</v>
      </c>
      <c r="B116">
        <v>53860087</v>
      </c>
      <c r="C116">
        <v>53860530</v>
      </c>
      <c r="D116">
        <v>29580491</v>
      </c>
      <c r="E116">
        <v>1</v>
      </c>
      <c r="F116">
        <v>1</v>
      </c>
      <c r="G116">
        <v>29506949</v>
      </c>
      <c r="H116">
        <v>2</v>
      </c>
      <c r="I116" t="s">
        <v>650</v>
      </c>
      <c r="J116" t="s">
        <v>651</v>
      </c>
      <c r="K116" t="s">
        <v>652</v>
      </c>
      <c r="L116">
        <v>1368</v>
      </c>
      <c r="N116">
        <v>1011</v>
      </c>
      <c r="O116" t="s">
        <v>647</v>
      </c>
      <c r="P116" t="s">
        <v>647</v>
      </c>
      <c r="Q116">
        <v>1</v>
      </c>
      <c r="W116">
        <v>0</v>
      </c>
      <c r="X116">
        <v>-1440889904</v>
      </c>
      <c r="Y116">
        <f>(AT116*1.25)</f>
        <v>0.1875</v>
      </c>
      <c r="AA116">
        <v>0</v>
      </c>
      <c r="AB116">
        <v>1029.8</v>
      </c>
      <c r="AC116">
        <v>389.36</v>
      </c>
      <c r="AD116">
        <v>0</v>
      </c>
      <c r="AE116">
        <v>0</v>
      </c>
      <c r="AF116">
        <v>83.1</v>
      </c>
      <c r="AG116">
        <v>12.62</v>
      </c>
      <c r="AH116">
        <v>0</v>
      </c>
      <c r="AI116">
        <v>1</v>
      </c>
      <c r="AJ116">
        <v>12.09</v>
      </c>
      <c r="AK116">
        <v>30.1</v>
      </c>
      <c r="AL116">
        <v>1</v>
      </c>
      <c r="AM116">
        <v>2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0.15</v>
      </c>
      <c r="AU116" t="s">
        <v>51</v>
      </c>
      <c r="AV116">
        <v>0</v>
      </c>
      <c r="AW116">
        <v>2</v>
      </c>
      <c r="AX116">
        <v>53861211</v>
      </c>
      <c r="AY116">
        <v>1</v>
      </c>
      <c r="AZ116">
        <v>0</v>
      </c>
      <c r="BA116">
        <v>190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f>ROUND(Y116*Source!I119,9)</f>
        <v>0.28125</v>
      </c>
      <c r="CX116">
        <f>ROUND(Y116*Source!I119,9)</f>
        <v>0.28125</v>
      </c>
      <c r="CY116">
        <f>AB116</f>
        <v>1029.8</v>
      </c>
      <c r="CZ116">
        <f>AF116</f>
        <v>83.1</v>
      </c>
      <c r="DA116">
        <f>AJ116</f>
        <v>12.09</v>
      </c>
      <c r="DB116">
        <f>ROUND((ROUND(AT116*CZ116,2)*1.25),6)</f>
        <v>15.5875</v>
      </c>
      <c r="DC116">
        <f>ROUND((ROUND(AT116*AG116,2)*1.25),6)</f>
        <v>2.3624999999999998</v>
      </c>
      <c r="DD116" t="s">
        <v>3</v>
      </c>
      <c r="DE116" t="s">
        <v>3</v>
      </c>
      <c r="DF116">
        <f>ROUND(ROUND(AE116,2)*CX116,2)</f>
        <v>0</v>
      </c>
      <c r="DG116">
        <f>ROUND(ROUND(AF116*AJ116,2)*CX116,2)</f>
        <v>282.57</v>
      </c>
      <c r="DH116">
        <f>ROUND(ROUND(AG116*AK116,2)*CX116,2)</f>
        <v>106.84</v>
      </c>
      <c r="DI116">
        <f t="shared" si="22"/>
        <v>0</v>
      </c>
      <c r="DJ116">
        <f>DG116</f>
        <v>282.57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ROW(Source!A119)</f>
        <v>119</v>
      </c>
      <c r="B117">
        <v>53860087</v>
      </c>
      <c r="C117">
        <v>53860530</v>
      </c>
      <c r="D117">
        <v>29555595</v>
      </c>
      <c r="E117">
        <v>1</v>
      </c>
      <c r="F117">
        <v>1</v>
      </c>
      <c r="G117">
        <v>29506949</v>
      </c>
      <c r="H117">
        <v>3</v>
      </c>
      <c r="I117" t="s">
        <v>656</v>
      </c>
      <c r="J117" t="s">
        <v>657</v>
      </c>
      <c r="K117" t="s">
        <v>658</v>
      </c>
      <c r="L117">
        <v>1346</v>
      </c>
      <c r="N117">
        <v>1009</v>
      </c>
      <c r="O117" t="s">
        <v>58</v>
      </c>
      <c r="P117" t="s">
        <v>58</v>
      </c>
      <c r="Q117">
        <v>1</v>
      </c>
      <c r="W117">
        <v>0</v>
      </c>
      <c r="X117">
        <v>622621594</v>
      </c>
      <c r="Y117">
        <f>AT117</f>
        <v>0.31</v>
      </c>
      <c r="AA117">
        <v>53.55</v>
      </c>
      <c r="AB117">
        <v>0</v>
      </c>
      <c r="AC117">
        <v>0</v>
      </c>
      <c r="AD117">
        <v>0</v>
      </c>
      <c r="AE117">
        <v>1.61</v>
      </c>
      <c r="AF117">
        <v>0</v>
      </c>
      <c r="AG117">
        <v>0</v>
      </c>
      <c r="AH117">
        <v>0</v>
      </c>
      <c r="AI117">
        <v>33.26</v>
      </c>
      <c r="AJ117">
        <v>1</v>
      </c>
      <c r="AK117">
        <v>1</v>
      </c>
      <c r="AL117">
        <v>1</v>
      </c>
      <c r="AM117">
        <v>2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0.31</v>
      </c>
      <c r="AU117" t="s">
        <v>3</v>
      </c>
      <c r="AV117">
        <v>0</v>
      </c>
      <c r="AW117">
        <v>2</v>
      </c>
      <c r="AX117">
        <v>53861212</v>
      </c>
      <c r="AY117">
        <v>1</v>
      </c>
      <c r="AZ117">
        <v>0</v>
      </c>
      <c r="BA117">
        <v>191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ROUND(Y117*Source!I119,9)</f>
        <v>0.46500000000000002</v>
      </c>
      <c r="CY117">
        <f>AA117</f>
        <v>53.55</v>
      </c>
      <c r="CZ117">
        <f>AE117</f>
        <v>1.61</v>
      </c>
      <c r="DA117">
        <f>AI117</f>
        <v>33.26</v>
      </c>
      <c r="DB117">
        <f>ROUND(ROUND(AT117*CZ117,2),6)</f>
        <v>0.5</v>
      </c>
      <c r="DC117">
        <f>ROUND(ROUND(AT117*AG117,2),6)</f>
        <v>0</v>
      </c>
      <c r="DD117" t="s">
        <v>3</v>
      </c>
      <c r="DE117" t="s">
        <v>3</v>
      </c>
      <c r="DF117">
        <f>ROUND(ROUND(AE117*AI117,2)*CX117,2)</f>
        <v>24.9</v>
      </c>
      <c r="DG117">
        <f t="shared" ref="DG117:DG136" si="54">ROUND(ROUND(AF117,2)*CX117,2)</f>
        <v>0</v>
      </c>
      <c r="DH117">
        <f t="shared" ref="DH117:DH136" si="55">ROUND(ROUND(AG117,2)*CX117,2)</f>
        <v>0</v>
      </c>
      <c r="DI117">
        <f t="shared" si="22"/>
        <v>0</v>
      </c>
      <c r="DJ117">
        <f>DF117</f>
        <v>24.9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ROW(Source!A119)</f>
        <v>119</v>
      </c>
      <c r="B118">
        <v>53860087</v>
      </c>
      <c r="C118">
        <v>53860530</v>
      </c>
      <c r="D118">
        <v>29556811</v>
      </c>
      <c r="E118">
        <v>1</v>
      </c>
      <c r="F118">
        <v>1</v>
      </c>
      <c r="G118">
        <v>29506949</v>
      </c>
      <c r="H118">
        <v>3</v>
      </c>
      <c r="I118" t="s">
        <v>659</v>
      </c>
      <c r="J118" t="s">
        <v>660</v>
      </c>
      <c r="K118" t="s">
        <v>661</v>
      </c>
      <c r="L118">
        <v>1327</v>
      </c>
      <c r="N118">
        <v>1005</v>
      </c>
      <c r="O118" t="s">
        <v>100</v>
      </c>
      <c r="P118" t="s">
        <v>100</v>
      </c>
      <c r="Q118">
        <v>1</v>
      </c>
      <c r="W118">
        <v>0</v>
      </c>
      <c r="X118">
        <v>1579706749</v>
      </c>
      <c r="Y118">
        <f>AT118</f>
        <v>0.84</v>
      </c>
      <c r="AA118">
        <v>151.84</v>
      </c>
      <c r="AB118">
        <v>0</v>
      </c>
      <c r="AC118">
        <v>0</v>
      </c>
      <c r="AD118">
        <v>0</v>
      </c>
      <c r="AE118">
        <v>104</v>
      </c>
      <c r="AF118">
        <v>0</v>
      </c>
      <c r="AG118">
        <v>0</v>
      </c>
      <c r="AH118">
        <v>0</v>
      </c>
      <c r="AI118">
        <v>1.46</v>
      </c>
      <c r="AJ118">
        <v>1</v>
      </c>
      <c r="AK118">
        <v>1</v>
      </c>
      <c r="AL118">
        <v>1</v>
      </c>
      <c r="AM118">
        <v>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0.84</v>
      </c>
      <c r="AU118" t="s">
        <v>3</v>
      </c>
      <c r="AV118">
        <v>0</v>
      </c>
      <c r="AW118">
        <v>2</v>
      </c>
      <c r="AX118">
        <v>53861213</v>
      </c>
      <c r="AY118">
        <v>1</v>
      </c>
      <c r="AZ118">
        <v>0</v>
      </c>
      <c r="BA118">
        <v>192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v>0</v>
      </c>
      <c r="CX118">
        <f>ROUND(Y118*Source!I119,9)</f>
        <v>1.26</v>
      </c>
      <c r="CY118">
        <f>AA118</f>
        <v>151.84</v>
      </c>
      <c r="CZ118">
        <f>AE118</f>
        <v>104</v>
      </c>
      <c r="DA118">
        <f>AI118</f>
        <v>1.46</v>
      </c>
      <c r="DB118">
        <f>ROUND(ROUND(AT118*CZ118,2),6)</f>
        <v>87.36</v>
      </c>
      <c r="DC118">
        <f>ROUND(ROUND(AT118*AG118,2),6)</f>
        <v>0</v>
      </c>
      <c r="DD118" t="s">
        <v>3</v>
      </c>
      <c r="DE118" t="s">
        <v>3</v>
      </c>
      <c r="DF118">
        <f>ROUND(ROUND(AE118*AI118,2)*CX118,2)</f>
        <v>191.32</v>
      </c>
      <c r="DG118">
        <f t="shared" si="54"/>
        <v>0</v>
      </c>
      <c r="DH118">
        <f t="shared" si="55"/>
        <v>0</v>
      </c>
      <c r="DI118">
        <f t="shared" si="22"/>
        <v>0</v>
      </c>
      <c r="DJ118">
        <f>DF118</f>
        <v>191.32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ROW(Source!A119)</f>
        <v>119</v>
      </c>
      <c r="B119">
        <v>53860087</v>
      </c>
      <c r="C119">
        <v>53860530</v>
      </c>
      <c r="D119">
        <v>29556824</v>
      </c>
      <c r="E119">
        <v>1</v>
      </c>
      <c r="F119">
        <v>1</v>
      </c>
      <c r="G119">
        <v>29506949</v>
      </c>
      <c r="H119">
        <v>3</v>
      </c>
      <c r="I119" t="s">
        <v>662</v>
      </c>
      <c r="J119" t="s">
        <v>663</v>
      </c>
      <c r="K119" t="s">
        <v>664</v>
      </c>
      <c r="L119">
        <v>1348</v>
      </c>
      <c r="N119">
        <v>1009</v>
      </c>
      <c r="O119" t="s">
        <v>75</v>
      </c>
      <c r="P119" t="s">
        <v>75</v>
      </c>
      <c r="Q119">
        <v>1000</v>
      </c>
      <c r="W119">
        <v>0</v>
      </c>
      <c r="X119">
        <v>580281819</v>
      </c>
      <c r="Y119">
        <f>AT119</f>
        <v>5.0999999999999997E-2</v>
      </c>
      <c r="AA119">
        <v>44232.91</v>
      </c>
      <c r="AB119">
        <v>0</v>
      </c>
      <c r="AC119">
        <v>0</v>
      </c>
      <c r="AD119">
        <v>0</v>
      </c>
      <c r="AE119">
        <v>13953.6</v>
      </c>
      <c r="AF119">
        <v>0</v>
      </c>
      <c r="AG119">
        <v>0</v>
      </c>
      <c r="AH119">
        <v>0</v>
      </c>
      <c r="AI119">
        <v>3.17</v>
      </c>
      <c r="AJ119">
        <v>1</v>
      </c>
      <c r="AK119">
        <v>1</v>
      </c>
      <c r="AL119">
        <v>1</v>
      </c>
      <c r="AM119">
        <v>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5.0999999999999997E-2</v>
      </c>
      <c r="AU119" t="s">
        <v>3</v>
      </c>
      <c r="AV119">
        <v>0</v>
      </c>
      <c r="AW119">
        <v>2</v>
      </c>
      <c r="AX119">
        <v>53861214</v>
      </c>
      <c r="AY119">
        <v>1</v>
      </c>
      <c r="AZ119">
        <v>0</v>
      </c>
      <c r="BA119">
        <v>193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ROUND(Y119*Source!I119,9)</f>
        <v>7.6499999999999999E-2</v>
      </c>
      <c r="CY119">
        <f>AA119</f>
        <v>44232.91</v>
      </c>
      <c r="CZ119">
        <f>AE119</f>
        <v>13953.6</v>
      </c>
      <c r="DA119">
        <f>AI119</f>
        <v>3.17</v>
      </c>
      <c r="DB119">
        <f>ROUND(ROUND(AT119*CZ119,2),6)</f>
        <v>711.63</v>
      </c>
      <c r="DC119">
        <f>ROUND(ROUND(AT119*AG119,2),6)</f>
        <v>0</v>
      </c>
      <c r="DD119" t="s">
        <v>3</v>
      </c>
      <c r="DE119" t="s">
        <v>3</v>
      </c>
      <c r="DF119">
        <f>ROUND(ROUND(AE119*AI119,2)*CX119,2)</f>
        <v>3383.82</v>
      </c>
      <c r="DG119">
        <f t="shared" si="54"/>
        <v>0</v>
      </c>
      <c r="DH119">
        <f t="shared" si="55"/>
        <v>0</v>
      </c>
      <c r="DI119">
        <f t="shared" si="22"/>
        <v>0</v>
      </c>
      <c r="DJ119">
        <f>DF119</f>
        <v>3383.82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ROW(Source!A119)</f>
        <v>119</v>
      </c>
      <c r="B120">
        <v>53860087</v>
      </c>
      <c r="C120">
        <v>53860530</v>
      </c>
      <c r="D120">
        <v>29557964</v>
      </c>
      <c r="E120">
        <v>1</v>
      </c>
      <c r="F120">
        <v>1</v>
      </c>
      <c r="G120">
        <v>29506949</v>
      </c>
      <c r="H120">
        <v>3</v>
      </c>
      <c r="I120" t="s">
        <v>56</v>
      </c>
      <c r="J120" t="s">
        <v>59</v>
      </c>
      <c r="K120" t="s">
        <v>57</v>
      </c>
      <c r="L120">
        <v>1346</v>
      </c>
      <c r="N120">
        <v>1009</v>
      </c>
      <c r="O120" t="s">
        <v>58</v>
      </c>
      <c r="P120" t="s">
        <v>58</v>
      </c>
      <c r="Q120">
        <v>1</v>
      </c>
      <c r="W120">
        <v>0</v>
      </c>
      <c r="X120">
        <v>33071459</v>
      </c>
      <c r="Y120">
        <f>AT120</f>
        <v>20</v>
      </c>
      <c r="AA120">
        <v>103.75</v>
      </c>
      <c r="AB120">
        <v>0</v>
      </c>
      <c r="AC120">
        <v>0</v>
      </c>
      <c r="AD120">
        <v>0</v>
      </c>
      <c r="AE120">
        <v>28.98</v>
      </c>
      <c r="AF120">
        <v>0</v>
      </c>
      <c r="AG120">
        <v>0</v>
      </c>
      <c r="AH120">
        <v>0</v>
      </c>
      <c r="AI120">
        <v>3.58</v>
      </c>
      <c r="AJ120">
        <v>1</v>
      </c>
      <c r="AK120">
        <v>1</v>
      </c>
      <c r="AL120">
        <v>1</v>
      </c>
      <c r="AM120">
        <v>0</v>
      </c>
      <c r="AN120">
        <v>0</v>
      </c>
      <c r="AO120">
        <v>0</v>
      </c>
      <c r="AP120">
        <v>1</v>
      </c>
      <c r="AQ120">
        <v>0</v>
      </c>
      <c r="AR120">
        <v>0</v>
      </c>
      <c r="AS120" t="s">
        <v>3</v>
      </c>
      <c r="AT120">
        <v>20</v>
      </c>
      <c r="AU120" t="s">
        <v>3</v>
      </c>
      <c r="AV120">
        <v>0</v>
      </c>
      <c r="AW120">
        <v>1</v>
      </c>
      <c r="AX120">
        <v>-1</v>
      </c>
      <c r="AY120">
        <v>0</v>
      </c>
      <c r="AZ120">
        <v>0</v>
      </c>
      <c r="BA120" t="s">
        <v>3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v>0</v>
      </c>
      <c r="CX120">
        <f>ROUND(Y120*Source!I119,9)</f>
        <v>30</v>
      </c>
      <c r="CY120">
        <f>AA120</f>
        <v>103.75</v>
      </c>
      <c r="CZ120">
        <f>AE120</f>
        <v>28.98</v>
      </c>
      <c r="DA120">
        <f>AI120</f>
        <v>3.58</v>
      </c>
      <c r="DB120">
        <f>ROUND(ROUND(AT120*CZ120,2),6)</f>
        <v>579.6</v>
      </c>
      <c r="DC120">
        <f>ROUND(ROUND(AT120*AG120,2),6)</f>
        <v>0</v>
      </c>
      <c r="DD120" t="s">
        <v>3</v>
      </c>
      <c r="DE120" t="s">
        <v>3</v>
      </c>
      <c r="DF120">
        <f>ROUND(ROUND(AE120*AI120,2)*CX120,2)</f>
        <v>3112.5</v>
      </c>
      <c r="DG120">
        <f t="shared" si="54"/>
        <v>0</v>
      </c>
      <c r="DH120">
        <f t="shared" si="55"/>
        <v>0</v>
      </c>
      <c r="DI120">
        <f t="shared" si="22"/>
        <v>0</v>
      </c>
      <c r="DJ120">
        <f>DF120</f>
        <v>3112.5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ROW(Source!A119)</f>
        <v>119</v>
      </c>
      <c r="B121">
        <v>53860087</v>
      </c>
      <c r="C121">
        <v>53860530</v>
      </c>
      <c r="D121">
        <v>29558996</v>
      </c>
      <c r="E121">
        <v>1</v>
      </c>
      <c r="F121">
        <v>1</v>
      </c>
      <c r="G121">
        <v>29506949</v>
      </c>
      <c r="H121">
        <v>3</v>
      </c>
      <c r="I121" t="s">
        <v>89</v>
      </c>
      <c r="J121" t="s">
        <v>90</v>
      </c>
      <c r="K121" t="s">
        <v>976</v>
      </c>
      <c r="L121">
        <v>1346</v>
      </c>
      <c r="N121">
        <v>1009</v>
      </c>
      <c r="O121" t="s">
        <v>58</v>
      </c>
      <c r="P121" t="s">
        <v>58</v>
      </c>
      <c r="Q121">
        <v>1</v>
      </c>
      <c r="W121">
        <v>0</v>
      </c>
      <c r="X121">
        <v>-1515598087</v>
      </c>
      <c r="Y121">
        <f>AT121</f>
        <v>30</v>
      </c>
      <c r="AA121">
        <v>513.11</v>
      </c>
      <c r="AB121">
        <v>0</v>
      </c>
      <c r="AC121">
        <v>0</v>
      </c>
      <c r="AD121">
        <v>0</v>
      </c>
      <c r="AE121">
        <v>108.25</v>
      </c>
      <c r="AF121">
        <v>0</v>
      </c>
      <c r="AG121">
        <v>0</v>
      </c>
      <c r="AH121">
        <v>0</v>
      </c>
      <c r="AI121">
        <v>4.74</v>
      </c>
      <c r="AJ121">
        <v>1</v>
      </c>
      <c r="AK121">
        <v>1</v>
      </c>
      <c r="AL121">
        <v>1</v>
      </c>
      <c r="AM121">
        <v>0</v>
      </c>
      <c r="AN121">
        <v>0</v>
      </c>
      <c r="AO121">
        <v>0</v>
      </c>
      <c r="AP121">
        <v>1</v>
      </c>
      <c r="AQ121">
        <v>0</v>
      </c>
      <c r="AR121">
        <v>0</v>
      </c>
      <c r="AS121" t="s">
        <v>3</v>
      </c>
      <c r="AT121">
        <v>30</v>
      </c>
      <c r="AU121" t="s">
        <v>3</v>
      </c>
      <c r="AV121">
        <v>0</v>
      </c>
      <c r="AW121">
        <v>1</v>
      </c>
      <c r="AX121">
        <v>-1</v>
      </c>
      <c r="AY121">
        <v>0</v>
      </c>
      <c r="AZ121">
        <v>0</v>
      </c>
      <c r="BA121" t="s">
        <v>3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ROUND(Y121*Source!I119,9)</f>
        <v>45</v>
      </c>
      <c r="CY121">
        <f>AA121</f>
        <v>513.11</v>
      </c>
      <c r="CZ121">
        <f>AE121</f>
        <v>108.25</v>
      </c>
      <c r="DA121">
        <f>AI121</f>
        <v>4.74</v>
      </c>
      <c r="DB121">
        <f>ROUND(ROUND(AT121*CZ121,2),6)</f>
        <v>3247.5</v>
      </c>
      <c r="DC121">
        <f>ROUND(ROUND(AT121*AG121,2),6)</f>
        <v>0</v>
      </c>
      <c r="DD121" t="s">
        <v>3</v>
      </c>
      <c r="DE121" t="s">
        <v>3</v>
      </c>
      <c r="DF121">
        <f>ROUND(ROUND(AE121*AI121,2)*CX121,2)</f>
        <v>23089.95</v>
      </c>
      <c r="DG121">
        <f t="shared" si="54"/>
        <v>0</v>
      </c>
      <c r="DH121">
        <f t="shared" si="55"/>
        <v>0</v>
      </c>
      <c r="DI121">
        <f t="shared" si="22"/>
        <v>0</v>
      </c>
      <c r="DJ121">
        <f>DF121</f>
        <v>23089.95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ROW(Source!A122)</f>
        <v>122</v>
      </c>
      <c r="B122">
        <v>53860087</v>
      </c>
      <c r="C122">
        <v>53860547</v>
      </c>
      <c r="D122">
        <v>29506954</v>
      </c>
      <c r="E122">
        <v>29506949</v>
      </c>
      <c r="F122">
        <v>1</v>
      </c>
      <c r="G122">
        <v>29506949</v>
      </c>
      <c r="H122">
        <v>1</v>
      </c>
      <c r="I122" t="s">
        <v>638</v>
      </c>
      <c r="J122" t="s">
        <v>3</v>
      </c>
      <c r="K122" t="s">
        <v>639</v>
      </c>
      <c r="L122">
        <v>1191</v>
      </c>
      <c r="N122">
        <v>1013</v>
      </c>
      <c r="O122" t="s">
        <v>640</v>
      </c>
      <c r="P122" t="s">
        <v>640</v>
      </c>
      <c r="Q122">
        <v>1</v>
      </c>
      <c r="W122">
        <v>0</v>
      </c>
      <c r="X122">
        <v>476480486</v>
      </c>
      <c r="Y122">
        <f>(AT122*1.15)</f>
        <v>180.54999999999998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157</v>
      </c>
      <c r="AU122" t="s">
        <v>52</v>
      </c>
      <c r="AV122">
        <v>1</v>
      </c>
      <c r="AW122">
        <v>2</v>
      </c>
      <c r="AX122">
        <v>53861217</v>
      </c>
      <c r="AY122">
        <v>1</v>
      </c>
      <c r="AZ122">
        <v>0</v>
      </c>
      <c r="BA122">
        <v>196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U122">
        <f>ROUND(AT122*Source!I122*AH122*AL122,2)</f>
        <v>0</v>
      </c>
      <c r="CV122">
        <f>ROUND(Y122*Source!I122,9)</f>
        <v>99.302499999999995</v>
      </c>
      <c r="CW122">
        <v>0</v>
      </c>
      <c r="CX122">
        <f>ROUND(Y122*Source!I122,9)</f>
        <v>99.302499999999995</v>
      </c>
      <c r="CY122">
        <f>AD122</f>
        <v>0</v>
      </c>
      <c r="CZ122">
        <f>AH122</f>
        <v>0</v>
      </c>
      <c r="DA122">
        <f>AL122</f>
        <v>1</v>
      </c>
      <c r="DB122">
        <f>ROUND((ROUND(AT122*CZ122,2)*1.15),6)</f>
        <v>0</v>
      </c>
      <c r="DC122">
        <f>ROUND((ROUND(AT122*AG122,2)*1.15),6)</f>
        <v>0</v>
      </c>
      <c r="DD122" t="s">
        <v>3</v>
      </c>
      <c r="DE122" t="s">
        <v>3</v>
      </c>
      <c r="DF122">
        <f>ROUND(ROUND(AE122,2)*CX122,2)</f>
        <v>0</v>
      </c>
      <c r="DG122">
        <f t="shared" si="54"/>
        <v>0</v>
      </c>
      <c r="DH122">
        <f t="shared" si="55"/>
        <v>0</v>
      </c>
      <c r="DI122">
        <f t="shared" si="22"/>
        <v>0</v>
      </c>
      <c r="DJ122">
        <f>DI122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ROW(Source!A122)</f>
        <v>122</v>
      </c>
      <c r="B123">
        <v>53860087</v>
      </c>
      <c r="C123">
        <v>53860547</v>
      </c>
      <c r="D123">
        <v>29507683</v>
      </c>
      <c r="E123">
        <v>29506949</v>
      </c>
      <c r="F123">
        <v>1</v>
      </c>
      <c r="G123">
        <v>29506949</v>
      </c>
      <c r="H123">
        <v>2</v>
      </c>
      <c r="I123" t="s">
        <v>641</v>
      </c>
      <c r="J123" t="s">
        <v>3</v>
      </c>
      <c r="K123" t="s">
        <v>642</v>
      </c>
      <c r="L123">
        <v>1344</v>
      </c>
      <c r="N123">
        <v>1008</v>
      </c>
      <c r="O123" t="s">
        <v>643</v>
      </c>
      <c r="P123" t="s">
        <v>643</v>
      </c>
      <c r="Q123">
        <v>1</v>
      </c>
      <c r="W123">
        <v>0</v>
      </c>
      <c r="X123">
        <v>-1180195794</v>
      </c>
      <c r="Y123">
        <f>(AT123*1.25)</f>
        <v>4.6750000000000007</v>
      </c>
      <c r="AA123">
        <v>0</v>
      </c>
      <c r="AB123">
        <v>1.03</v>
      </c>
      <c r="AC123">
        <v>0</v>
      </c>
      <c r="AD123">
        <v>0</v>
      </c>
      <c r="AE123">
        <v>0</v>
      </c>
      <c r="AF123">
        <v>1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3.74</v>
      </c>
      <c r="AU123" t="s">
        <v>51</v>
      </c>
      <c r="AV123">
        <v>0</v>
      </c>
      <c r="AW123">
        <v>1</v>
      </c>
      <c r="AX123">
        <v>-1</v>
      </c>
      <c r="AY123">
        <v>0</v>
      </c>
      <c r="AZ123">
        <v>0</v>
      </c>
      <c r="BA123" t="s">
        <v>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f>ROUND(Y123*Source!I122,9)</f>
        <v>2.57125</v>
      </c>
      <c r="CX123">
        <f>ROUND(Y123*Source!I122,9)</f>
        <v>2.57125</v>
      </c>
      <c r="CY123">
        <f>AB123</f>
        <v>1.03</v>
      </c>
      <c r="CZ123">
        <f>AF123</f>
        <v>1</v>
      </c>
      <c r="DA123">
        <f>AJ123</f>
        <v>1</v>
      </c>
      <c r="DB123">
        <f>ROUND((ROUND(AT123*CZ123,2)*1.25),6)</f>
        <v>4.6749999999999998</v>
      </c>
      <c r="DC123">
        <f>ROUND((ROUND(AT123*AG123,2)*1.25),6)</f>
        <v>0</v>
      </c>
      <c r="DD123" t="s">
        <v>3</v>
      </c>
      <c r="DE123" t="s">
        <v>3</v>
      </c>
      <c r="DF123">
        <f>ROUND(ROUND(AE123,2)*CX123,2)</f>
        <v>0</v>
      </c>
      <c r="DG123">
        <f t="shared" si="54"/>
        <v>2.57</v>
      </c>
      <c r="DH123">
        <f t="shared" si="55"/>
        <v>0</v>
      </c>
      <c r="DI123">
        <f t="shared" si="22"/>
        <v>0</v>
      </c>
      <c r="DJ123">
        <f>DG123</f>
        <v>2.57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ROW(Source!A122)</f>
        <v>122</v>
      </c>
      <c r="B124">
        <v>53860087</v>
      </c>
      <c r="C124">
        <v>53860547</v>
      </c>
      <c r="D124">
        <v>29557436</v>
      </c>
      <c r="E124">
        <v>1</v>
      </c>
      <c r="F124">
        <v>1</v>
      </c>
      <c r="G124">
        <v>29506949</v>
      </c>
      <c r="H124">
        <v>3</v>
      </c>
      <c r="I124" t="s">
        <v>305</v>
      </c>
      <c r="J124" t="s">
        <v>306</v>
      </c>
      <c r="K124" t="s">
        <v>978</v>
      </c>
      <c r="L124">
        <v>1348</v>
      </c>
      <c r="N124">
        <v>1009</v>
      </c>
      <c r="O124" t="s">
        <v>75</v>
      </c>
      <c r="P124" t="s">
        <v>75</v>
      </c>
      <c r="Q124">
        <v>1000</v>
      </c>
      <c r="W124">
        <v>0</v>
      </c>
      <c r="X124">
        <v>-781431118</v>
      </c>
      <c r="Y124">
        <f>AT124</f>
        <v>1.6E-2</v>
      </c>
      <c r="AA124">
        <v>125845.82</v>
      </c>
      <c r="AB124">
        <v>0</v>
      </c>
      <c r="AC124">
        <v>0</v>
      </c>
      <c r="AD124">
        <v>0</v>
      </c>
      <c r="AE124">
        <v>33030.400000000001</v>
      </c>
      <c r="AF124">
        <v>0</v>
      </c>
      <c r="AG124">
        <v>0</v>
      </c>
      <c r="AH124">
        <v>0</v>
      </c>
      <c r="AI124">
        <v>3.81</v>
      </c>
      <c r="AJ124">
        <v>1</v>
      </c>
      <c r="AK124">
        <v>1</v>
      </c>
      <c r="AL124">
        <v>1</v>
      </c>
      <c r="AM124">
        <v>0</v>
      </c>
      <c r="AN124">
        <v>0</v>
      </c>
      <c r="AO124">
        <v>0</v>
      </c>
      <c r="AP124">
        <v>1</v>
      </c>
      <c r="AQ124">
        <v>0</v>
      </c>
      <c r="AR124">
        <v>0</v>
      </c>
      <c r="AS124" t="s">
        <v>3</v>
      </c>
      <c r="AT124">
        <v>1.6E-2</v>
      </c>
      <c r="AU124" t="s">
        <v>3</v>
      </c>
      <c r="AV124">
        <v>0</v>
      </c>
      <c r="AW124">
        <v>1</v>
      </c>
      <c r="AX124">
        <v>-1</v>
      </c>
      <c r="AY124">
        <v>0</v>
      </c>
      <c r="AZ124">
        <v>0</v>
      </c>
      <c r="BA124" t="s">
        <v>3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ROUND(Y124*Source!I122,9)</f>
        <v>8.8000000000000005E-3</v>
      </c>
      <c r="CY124">
        <f>AA124</f>
        <v>125845.82</v>
      </c>
      <c r="CZ124">
        <f>AE124</f>
        <v>33030.400000000001</v>
      </c>
      <c r="DA124">
        <f>AI124</f>
        <v>3.81</v>
      </c>
      <c r="DB124">
        <f>ROUND(ROUND(AT124*CZ124,2),6)</f>
        <v>528.49</v>
      </c>
      <c r="DC124">
        <f>ROUND(ROUND(AT124*AG124,2),6)</f>
        <v>0</v>
      </c>
      <c r="DD124" t="s">
        <v>3</v>
      </c>
      <c r="DE124" t="s">
        <v>3</v>
      </c>
      <c r="DF124">
        <f>ROUND(ROUND(AE124*AI124,2)*CX124,2)</f>
        <v>1107.44</v>
      </c>
      <c r="DG124">
        <f t="shared" si="54"/>
        <v>0</v>
      </c>
      <c r="DH124">
        <f t="shared" si="55"/>
        <v>0</v>
      </c>
      <c r="DI124">
        <f t="shared" si="22"/>
        <v>0</v>
      </c>
      <c r="DJ124">
        <f>DF124</f>
        <v>1107.44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ROW(Source!A122)</f>
        <v>122</v>
      </c>
      <c r="B125">
        <v>53860087</v>
      </c>
      <c r="C125">
        <v>53860547</v>
      </c>
      <c r="D125">
        <v>29555851</v>
      </c>
      <c r="E125">
        <v>1</v>
      </c>
      <c r="F125">
        <v>1</v>
      </c>
      <c r="G125">
        <v>29506949</v>
      </c>
      <c r="H125">
        <v>3</v>
      </c>
      <c r="I125" t="s">
        <v>748</v>
      </c>
      <c r="J125" t="s">
        <v>749</v>
      </c>
      <c r="K125" t="s">
        <v>750</v>
      </c>
      <c r="L125">
        <v>1348</v>
      </c>
      <c r="N125">
        <v>1009</v>
      </c>
      <c r="O125" t="s">
        <v>75</v>
      </c>
      <c r="P125" t="s">
        <v>75</v>
      </c>
      <c r="Q125">
        <v>1000</v>
      </c>
      <c r="W125">
        <v>0</v>
      </c>
      <c r="X125">
        <v>-1426800305</v>
      </c>
      <c r="Y125">
        <f>AT125</f>
        <v>0.02</v>
      </c>
      <c r="AA125">
        <v>193221.14</v>
      </c>
      <c r="AB125">
        <v>0</v>
      </c>
      <c r="AC125">
        <v>0</v>
      </c>
      <c r="AD125">
        <v>0</v>
      </c>
      <c r="AE125">
        <v>46784.78</v>
      </c>
      <c r="AF125">
        <v>0</v>
      </c>
      <c r="AG125">
        <v>0</v>
      </c>
      <c r="AH125">
        <v>0</v>
      </c>
      <c r="AI125">
        <v>4.13</v>
      </c>
      <c r="AJ125">
        <v>1</v>
      </c>
      <c r="AK125">
        <v>1</v>
      </c>
      <c r="AL125">
        <v>1</v>
      </c>
      <c r="AM125">
        <v>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0.02</v>
      </c>
      <c r="AU125" t="s">
        <v>3</v>
      </c>
      <c r="AV125">
        <v>0</v>
      </c>
      <c r="AW125">
        <v>2</v>
      </c>
      <c r="AX125">
        <v>53861223</v>
      </c>
      <c r="AY125">
        <v>1</v>
      </c>
      <c r="AZ125">
        <v>0</v>
      </c>
      <c r="BA125">
        <v>202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ROUND(Y125*Source!I122,9)</f>
        <v>1.0999999999999999E-2</v>
      </c>
      <c r="CY125">
        <f>AA125</f>
        <v>193221.14</v>
      </c>
      <c r="CZ125">
        <f>AE125</f>
        <v>46784.78</v>
      </c>
      <c r="DA125">
        <f>AI125</f>
        <v>4.13</v>
      </c>
      <c r="DB125">
        <f>ROUND(ROUND(AT125*CZ125,2),6)</f>
        <v>935.7</v>
      </c>
      <c r="DC125">
        <f>ROUND(ROUND(AT125*AG125,2),6)</f>
        <v>0</v>
      </c>
      <c r="DD125" t="s">
        <v>3</v>
      </c>
      <c r="DE125" t="s">
        <v>3</v>
      </c>
      <c r="DF125">
        <f>ROUND(ROUND(AE125*AI125,2)*CX125,2)</f>
        <v>2125.4299999999998</v>
      </c>
      <c r="DG125">
        <f t="shared" si="54"/>
        <v>0</v>
      </c>
      <c r="DH125">
        <f t="shared" si="55"/>
        <v>0</v>
      </c>
      <c r="DI125">
        <f t="shared" si="22"/>
        <v>0</v>
      </c>
      <c r="DJ125">
        <f>DF125</f>
        <v>2125.4299999999998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ROW(Source!A122)</f>
        <v>122</v>
      </c>
      <c r="B126">
        <v>53860087</v>
      </c>
      <c r="C126">
        <v>53860547</v>
      </c>
      <c r="D126">
        <v>33481861</v>
      </c>
      <c r="E126">
        <v>1</v>
      </c>
      <c r="F126">
        <v>1</v>
      </c>
      <c r="G126">
        <v>29506949</v>
      </c>
      <c r="H126">
        <v>3</v>
      </c>
      <c r="I126" t="s">
        <v>311</v>
      </c>
      <c r="J126" t="s">
        <v>313</v>
      </c>
      <c r="K126" t="s">
        <v>312</v>
      </c>
      <c r="L126">
        <v>1328</v>
      </c>
      <c r="N126">
        <v>1005</v>
      </c>
      <c r="O126" t="s">
        <v>28</v>
      </c>
      <c r="P126" t="s">
        <v>28</v>
      </c>
      <c r="Q126">
        <v>100</v>
      </c>
      <c r="W126">
        <v>0</v>
      </c>
      <c r="X126">
        <v>-1300525607</v>
      </c>
      <c r="Y126">
        <f>AT126</f>
        <v>1.1200000000000001</v>
      </c>
      <c r="AA126">
        <v>5814.89</v>
      </c>
      <c r="AB126">
        <v>0</v>
      </c>
      <c r="AC126">
        <v>0</v>
      </c>
      <c r="AD126">
        <v>0</v>
      </c>
      <c r="AE126">
        <v>945.51</v>
      </c>
      <c r="AF126">
        <v>0</v>
      </c>
      <c r="AG126">
        <v>0</v>
      </c>
      <c r="AH126">
        <v>0</v>
      </c>
      <c r="AI126">
        <v>6.15</v>
      </c>
      <c r="AJ126">
        <v>1</v>
      </c>
      <c r="AK126">
        <v>1</v>
      </c>
      <c r="AL126">
        <v>1</v>
      </c>
      <c r="AM126">
        <v>0</v>
      </c>
      <c r="AN126">
        <v>0</v>
      </c>
      <c r="AO126">
        <v>0</v>
      </c>
      <c r="AP126">
        <v>1</v>
      </c>
      <c r="AQ126">
        <v>0</v>
      </c>
      <c r="AR126">
        <v>0</v>
      </c>
      <c r="AS126" t="s">
        <v>3</v>
      </c>
      <c r="AT126">
        <v>1.1200000000000001</v>
      </c>
      <c r="AU126" t="s">
        <v>3</v>
      </c>
      <c r="AV126">
        <v>0</v>
      </c>
      <c r="AW126">
        <v>1</v>
      </c>
      <c r="AX126">
        <v>-1</v>
      </c>
      <c r="AY126">
        <v>0</v>
      </c>
      <c r="AZ126">
        <v>0</v>
      </c>
      <c r="BA126" t="s">
        <v>3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ROUND(Y126*Source!I122,9)</f>
        <v>0.61599999999999999</v>
      </c>
      <c r="CY126">
        <f>AA126</f>
        <v>5814.89</v>
      </c>
      <c r="CZ126">
        <f>AE126</f>
        <v>945.51</v>
      </c>
      <c r="DA126">
        <f>AI126</f>
        <v>6.15</v>
      </c>
      <c r="DB126">
        <f>ROUND(ROUND(AT126*CZ126,2),6)</f>
        <v>1058.97</v>
      </c>
      <c r="DC126">
        <f>ROUND(ROUND(AT126*AG126,2),6)</f>
        <v>0</v>
      </c>
      <c r="DD126" t="s">
        <v>3</v>
      </c>
      <c r="DE126" t="s">
        <v>3</v>
      </c>
      <c r="DF126">
        <f>ROUND(ROUND(AE126*AI126,2)*CX126,2)</f>
        <v>3581.97</v>
      </c>
      <c r="DG126">
        <f t="shared" si="54"/>
        <v>0</v>
      </c>
      <c r="DH126">
        <f t="shared" si="55"/>
        <v>0</v>
      </c>
      <c r="DI126">
        <f t="shared" si="22"/>
        <v>0</v>
      </c>
      <c r="DJ126">
        <f>DF126</f>
        <v>3581.97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ROW(Source!A122)</f>
        <v>122</v>
      </c>
      <c r="B127">
        <v>53860087</v>
      </c>
      <c r="C127">
        <v>53860547</v>
      </c>
      <c r="D127">
        <v>29574146</v>
      </c>
      <c r="E127">
        <v>1</v>
      </c>
      <c r="F127">
        <v>1</v>
      </c>
      <c r="G127">
        <v>29506949</v>
      </c>
      <c r="H127">
        <v>3</v>
      </c>
      <c r="I127" t="s">
        <v>308</v>
      </c>
      <c r="J127" t="s">
        <v>309</v>
      </c>
      <c r="K127" t="s">
        <v>979</v>
      </c>
      <c r="L127">
        <v>1346</v>
      </c>
      <c r="N127">
        <v>1009</v>
      </c>
      <c r="O127" t="s">
        <v>58</v>
      </c>
      <c r="P127" t="s">
        <v>58</v>
      </c>
      <c r="Q127">
        <v>1</v>
      </c>
      <c r="W127">
        <v>0</v>
      </c>
      <c r="X127">
        <v>1774856576</v>
      </c>
      <c r="Y127">
        <f>AT127</f>
        <v>120</v>
      </c>
      <c r="AA127">
        <v>28.3</v>
      </c>
      <c r="AB127">
        <v>0</v>
      </c>
      <c r="AC127">
        <v>0</v>
      </c>
      <c r="AD127">
        <v>0</v>
      </c>
      <c r="AE127">
        <v>9.1</v>
      </c>
      <c r="AF127">
        <v>0</v>
      </c>
      <c r="AG127">
        <v>0</v>
      </c>
      <c r="AH127">
        <v>0</v>
      </c>
      <c r="AI127">
        <v>3.11</v>
      </c>
      <c r="AJ127">
        <v>1</v>
      </c>
      <c r="AK127">
        <v>1</v>
      </c>
      <c r="AL127">
        <v>1</v>
      </c>
      <c r="AM127">
        <v>0</v>
      </c>
      <c r="AN127">
        <v>0</v>
      </c>
      <c r="AO127">
        <v>0</v>
      </c>
      <c r="AP127">
        <v>1</v>
      </c>
      <c r="AQ127">
        <v>0</v>
      </c>
      <c r="AR127">
        <v>0</v>
      </c>
      <c r="AS127" t="s">
        <v>3</v>
      </c>
      <c r="AT127">
        <v>120</v>
      </c>
      <c r="AU127" t="s">
        <v>3</v>
      </c>
      <c r="AV127">
        <v>0</v>
      </c>
      <c r="AW127">
        <v>1</v>
      </c>
      <c r="AX127">
        <v>-1</v>
      </c>
      <c r="AY127">
        <v>0</v>
      </c>
      <c r="AZ127">
        <v>0</v>
      </c>
      <c r="BA127" t="s">
        <v>3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v>0</v>
      </c>
      <c r="CX127">
        <f>ROUND(Y127*Source!I122,9)</f>
        <v>66</v>
      </c>
      <c r="CY127">
        <f>AA127</f>
        <v>28.3</v>
      </c>
      <c r="CZ127">
        <f>AE127</f>
        <v>9.1</v>
      </c>
      <c r="DA127">
        <f>AI127</f>
        <v>3.11</v>
      </c>
      <c r="DB127">
        <f>ROUND(ROUND(AT127*CZ127,2),6)</f>
        <v>1092</v>
      </c>
      <c r="DC127">
        <f>ROUND(ROUND(AT127*AG127,2),6)</f>
        <v>0</v>
      </c>
      <c r="DD127" t="s">
        <v>3</v>
      </c>
      <c r="DE127" t="s">
        <v>3</v>
      </c>
      <c r="DF127">
        <f>ROUND(ROUND(AE127*AI127,2)*CX127,2)</f>
        <v>1867.8</v>
      </c>
      <c r="DG127">
        <f t="shared" si="54"/>
        <v>0</v>
      </c>
      <c r="DH127">
        <f t="shared" si="55"/>
        <v>0</v>
      </c>
      <c r="DI127">
        <f t="shared" si="22"/>
        <v>0</v>
      </c>
      <c r="DJ127">
        <f>DF127</f>
        <v>1867.8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ROW(Source!A122)</f>
        <v>122</v>
      </c>
      <c r="B128">
        <v>53860087</v>
      </c>
      <c r="C128">
        <v>53860547</v>
      </c>
      <c r="D128">
        <v>29529088</v>
      </c>
      <c r="E128">
        <v>29506949</v>
      </c>
      <c r="F128">
        <v>1</v>
      </c>
      <c r="G128">
        <v>29506949</v>
      </c>
      <c r="H128">
        <v>3</v>
      </c>
      <c r="I128" t="s">
        <v>680</v>
      </c>
      <c r="J128" t="s">
        <v>3</v>
      </c>
      <c r="K128" t="s">
        <v>681</v>
      </c>
      <c r="L128">
        <v>1344</v>
      </c>
      <c r="N128">
        <v>1008</v>
      </c>
      <c r="O128" t="s">
        <v>643</v>
      </c>
      <c r="P128" t="s">
        <v>643</v>
      </c>
      <c r="Q128">
        <v>1</v>
      </c>
      <c r="W128">
        <v>0</v>
      </c>
      <c r="X128">
        <v>-94250534</v>
      </c>
      <c r="Y128">
        <f>AT128</f>
        <v>17.45</v>
      </c>
      <c r="AA128">
        <v>1</v>
      </c>
      <c r="AB128">
        <v>0</v>
      </c>
      <c r="AC128">
        <v>0</v>
      </c>
      <c r="AD128">
        <v>0</v>
      </c>
      <c r="AE128">
        <v>1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17.45</v>
      </c>
      <c r="AU128" t="s">
        <v>3</v>
      </c>
      <c r="AV128">
        <v>0</v>
      </c>
      <c r="AW128">
        <v>1</v>
      </c>
      <c r="AX128">
        <v>-1</v>
      </c>
      <c r="AY128">
        <v>0</v>
      </c>
      <c r="AZ128">
        <v>0</v>
      </c>
      <c r="BA128" t="s">
        <v>3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ROUND(Y128*Source!I122,9)</f>
        <v>9.5975000000000001</v>
      </c>
      <c r="CY128">
        <f>AA128</f>
        <v>1</v>
      </c>
      <c r="CZ128">
        <f>AE128</f>
        <v>1</v>
      </c>
      <c r="DA128">
        <f>AI128</f>
        <v>1</v>
      </c>
      <c r="DB128">
        <f>ROUND(ROUND(AT128*CZ128,2),6)</f>
        <v>17.45</v>
      </c>
      <c r="DC128">
        <f>ROUND(ROUND(AT128*AG128,2),6)</f>
        <v>0</v>
      </c>
      <c r="DD128" t="s">
        <v>3</v>
      </c>
      <c r="DE128" t="s">
        <v>3</v>
      </c>
      <c r="DF128">
        <f>ROUND(ROUND(AE128,2)*CX128,2)</f>
        <v>9.6</v>
      </c>
      <c r="DG128">
        <f t="shared" si="54"/>
        <v>0</v>
      </c>
      <c r="DH128">
        <f t="shared" si="55"/>
        <v>0</v>
      </c>
      <c r="DI128">
        <f t="shared" si="22"/>
        <v>0</v>
      </c>
      <c r="DJ128">
        <f>DF128</f>
        <v>9.6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ROW(Source!A126)</f>
        <v>126</v>
      </c>
      <c r="B129">
        <v>53860087</v>
      </c>
      <c r="C129">
        <v>53860565</v>
      </c>
      <c r="D129">
        <v>29506954</v>
      </c>
      <c r="E129">
        <v>29506949</v>
      </c>
      <c r="F129">
        <v>1</v>
      </c>
      <c r="G129">
        <v>29506949</v>
      </c>
      <c r="H129">
        <v>1</v>
      </c>
      <c r="I129" t="s">
        <v>638</v>
      </c>
      <c r="J129" t="s">
        <v>3</v>
      </c>
      <c r="K129" t="s">
        <v>639</v>
      </c>
      <c r="L129">
        <v>1191</v>
      </c>
      <c r="N129">
        <v>1013</v>
      </c>
      <c r="O129" t="s">
        <v>640</v>
      </c>
      <c r="P129" t="s">
        <v>640</v>
      </c>
      <c r="Q129">
        <v>1</v>
      </c>
      <c r="W129">
        <v>0</v>
      </c>
      <c r="X129">
        <v>476480486</v>
      </c>
      <c r="Y129">
        <f>(AT129*1.15)</f>
        <v>6.3134999999999994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5.49</v>
      </c>
      <c r="AU129" t="s">
        <v>52</v>
      </c>
      <c r="AV129">
        <v>1</v>
      </c>
      <c r="AW129">
        <v>2</v>
      </c>
      <c r="AX129">
        <v>53861227</v>
      </c>
      <c r="AY129">
        <v>1</v>
      </c>
      <c r="AZ129">
        <v>0</v>
      </c>
      <c r="BA129">
        <v>206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U129">
        <f>ROUND(AT129*Source!I126*AH129*AL129,2)</f>
        <v>0</v>
      </c>
      <c r="CV129">
        <f>ROUND(Y129*Source!I126,9)</f>
        <v>3.4724249999999999</v>
      </c>
      <c r="CW129">
        <v>0</v>
      </c>
      <c r="CX129">
        <f>ROUND(Y129*Source!I126,9)</f>
        <v>3.4724249999999999</v>
      </c>
      <c r="CY129">
        <f>AD129</f>
        <v>0</v>
      </c>
      <c r="CZ129">
        <f>AH129</f>
        <v>0</v>
      </c>
      <c r="DA129">
        <f>AL129</f>
        <v>1</v>
      </c>
      <c r="DB129">
        <f>ROUND((ROUND(AT129*CZ129,2)*1.15),6)</f>
        <v>0</v>
      </c>
      <c r="DC129">
        <f>ROUND((ROUND(AT129*AG129,2)*1.15),6)</f>
        <v>0</v>
      </c>
      <c r="DD129" t="s">
        <v>3</v>
      </c>
      <c r="DE129" t="s">
        <v>3</v>
      </c>
      <c r="DF129">
        <f>ROUND(ROUND(AE129,2)*CX129,2)</f>
        <v>0</v>
      </c>
      <c r="DG129">
        <f t="shared" si="54"/>
        <v>0</v>
      </c>
      <c r="DH129">
        <f t="shared" si="55"/>
        <v>0</v>
      </c>
      <c r="DI129">
        <f t="shared" ref="DI129:DI192" si="56">ROUND(ROUND(AH129,2)*CX129,2)</f>
        <v>0</v>
      </c>
      <c r="DJ129">
        <f>DI129</f>
        <v>0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ROW(Source!A126)</f>
        <v>126</v>
      </c>
      <c r="B130">
        <v>53860087</v>
      </c>
      <c r="C130">
        <v>53860565</v>
      </c>
      <c r="D130">
        <v>29557436</v>
      </c>
      <c r="E130">
        <v>1</v>
      </c>
      <c r="F130">
        <v>1</v>
      </c>
      <c r="G130">
        <v>29506949</v>
      </c>
      <c r="H130">
        <v>3</v>
      </c>
      <c r="I130" t="s">
        <v>305</v>
      </c>
      <c r="J130" t="s">
        <v>306</v>
      </c>
      <c r="K130" t="s">
        <v>978</v>
      </c>
      <c r="L130">
        <v>1348</v>
      </c>
      <c r="N130">
        <v>1009</v>
      </c>
      <c r="O130" t="s">
        <v>75</v>
      </c>
      <c r="P130" t="s">
        <v>75</v>
      </c>
      <c r="Q130">
        <v>1000</v>
      </c>
      <c r="W130">
        <v>0</v>
      </c>
      <c r="X130">
        <v>-781431118</v>
      </c>
      <c r="Y130">
        <f t="shared" ref="Y130:Y135" si="57">AT130</f>
        <v>1.4999999999999999E-2</v>
      </c>
      <c r="AA130">
        <v>125845.82</v>
      </c>
      <c r="AB130">
        <v>0</v>
      </c>
      <c r="AC130">
        <v>0</v>
      </c>
      <c r="AD130">
        <v>0</v>
      </c>
      <c r="AE130">
        <v>33030.400000000001</v>
      </c>
      <c r="AF130">
        <v>0</v>
      </c>
      <c r="AG130">
        <v>0</v>
      </c>
      <c r="AH130">
        <v>0</v>
      </c>
      <c r="AI130">
        <v>3.81</v>
      </c>
      <c r="AJ130">
        <v>1</v>
      </c>
      <c r="AK130">
        <v>1</v>
      </c>
      <c r="AL130">
        <v>1</v>
      </c>
      <c r="AM130">
        <v>0</v>
      </c>
      <c r="AN130">
        <v>0</v>
      </c>
      <c r="AO130">
        <v>0</v>
      </c>
      <c r="AP130">
        <v>1</v>
      </c>
      <c r="AQ130">
        <v>0</v>
      </c>
      <c r="AR130">
        <v>0</v>
      </c>
      <c r="AS130" t="s">
        <v>3</v>
      </c>
      <c r="AT130">
        <v>1.4999999999999999E-2</v>
      </c>
      <c r="AU130" t="s">
        <v>3</v>
      </c>
      <c r="AV130">
        <v>0</v>
      </c>
      <c r="AW130">
        <v>1</v>
      </c>
      <c r="AX130">
        <v>-1</v>
      </c>
      <c r="AY130">
        <v>0</v>
      </c>
      <c r="AZ130">
        <v>0</v>
      </c>
      <c r="BA130" t="s">
        <v>3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ROUND(Y130*Source!I126,9)</f>
        <v>8.2500000000000004E-3</v>
      </c>
      <c r="CY130">
        <f t="shared" ref="CY130:CY135" si="58">AA130</f>
        <v>125845.82</v>
      </c>
      <c r="CZ130">
        <f t="shared" ref="CZ130:CZ135" si="59">AE130</f>
        <v>33030.400000000001</v>
      </c>
      <c r="DA130">
        <f t="shared" ref="DA130:DA135" si="60">AI130</f>
        <v>3.81</v>
      </c>
      <c r="DB130">
        <f t="shared" ref="DB130:DB135" si="61">ROUND(ROUND(AT130*CZ130,2),6)</f>
        <v>495.46</v>
      </c>
      <c r="DC130">
        <f t="shared" ref="DC130:DC135" si="62">ROUND(ROUND(AT130*AG130,2),6)</f>
        <v>0</v>
      </c>
      <c r="DD130" t="s">
        <v>3</v>
      </c>
      <c r="DE130" t="s">
        <v>3</v>
      </c>
      <c r="DF130">
        <f t="shared" ref="DF130:DF135" si="63">ROUND(ROUND(AE130*AI130,2)*CX130,2)</f>
        <v>1038.23</v>
      </c>
      <c r="DG130">
        <f t="shared" si="54"/>
        <v>0</v>
      </c>
      <c r="DH130">
        <f t="shared" si="55"/>
        <v>0</v>
      </c>
      <c r="DI130">
        <f t="shared" si="56"/>
        <v>0</v>
      </c>
      <c r="DJ130">
        <f t="shared" ref="DJ130:DJ135" si="64">DF130</f>
        <v>1038.23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ROW(Source!A129)</f>
        <v>129</v>
      </c>
      <c r="B131">
        <v>53860087</v>
      </c>
      <c r="C131">
        <v>53860572</v>
      </c>
      <c r="D131">
        <v>29558793</v>
      </c>
      <c r="E131">
        <v>1</v>
      </c>
      <c r="F131">
        <v>1</v>
      </c>
      <c r="G131">
        <v>29506949</v>
      </c>
      <c r="H131">
        <v>3</v>
      </c>
      <c r="I131" t="s">
        <v>123</v>
      </c>
      <c r="J131" t="s">
        <v>126</v>
      </c>
      <c r="K131" t="s">
        <v>124</v>
      </c>
      <c r="L131">
        <v>1301</v>
      </c>
      <c r="N131">
        <v>1003</v>
      </c>
      <c r="O131" t="s">
        <v>125</v>
      </c>
      <c r="P131" t="s">
        <v>125</v>
      </c>
      <c r="Q131">
        <v>1</v>
      </c>
      <c r="W131">
        <v>0</v>
      </c>
      <c r="X131">
        <v>-1897368516</v>
      </c>
      <c r="Y131">
        <f t="shared" si="57"/>
        <v>126</v>
      </c>
      <c r="AA131">
        <v>6.56</v>
      </c>
      <c r="AB131">
        <v>0</v>
      </c>
      <c r="AC131">
        <v>0</v>
      </c>
      <c r="AD131">
        <v>0</v>
      </c>
      <c r="AE131">
        <v>0.71</v>
      </c>
      <c r="AF131">
        <v>0</v>
      </c>
      <c r="AG131">
        <v>0</v>
      </c>
      <c r="AH131">
        <v>0</v>
      </c>
      <c r="AI131">
        <v>9.24</v>
      </c>
      <c r="AJ131">
        <v>1</v>
      </c>
      <c r="AK131">
        <v>1</v>
      </c>
      <c r="AL131">
        <v>1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 t="s">
        <v>3</v>
      </c>
      <c r="AT131">
        <v>126</v>
      </c>
      <c r="AU131" t="s">
        <v>3</v>
      </c>
      <c r="AV131">
        <v>0</v>
      </c>
      <c r="AW131">
        <v>1</v>
      </c>
      <c r="AX131">
        <v>-1</v>
      </c>
      <c r="AY131">
        <v>0</v>
      </c>
      <c r="AZ131">
        <v>0</v>
      </c>
      <c r="BA131" t="s">
        <v>3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ROUND(Y131*Source!I129,9)</f>
        <v>21.42</v>
      </c>
      <c r="CY131">
        <f t="shared" si="58"/>
        <v>6.56</v>
      </c>
      <c r="CZ131">
        <f t="shared" si="59"/>
        <v>0.71</v>
      </c>
      <c r="DA131">
        <f t="shared" si="60"/>
        <v>9.24</v>
      </c>
      <c r="DB131">
        <f t="shared" si="61"/>
        <v>89.46</v>
      </c>
      <c r="DC131">
        <f t="shared" si="62"/>
        <v>0</v>
      </c>
      <c r="DD131" t="s">
        <v>3</v>
      </c>
      <c r="DE131" t="s">
        <v>3</v>
      </c>
      <c r="DF131">
        <f t="shared" si="63"/>
        <v>140.52000000000001</v>
      </c>
      <c r="DG131">
        <f t="shared" si="54"/>
        <v>0</v>
      </c>
      <c r="DH131">
        <f t="shared" si="55"/>
        <v>0</v>
      </c>
      <c r="DI131">
        <f t="shared" si="56"/>
        <v>0</v>
      </c>
      <c r="DJ131">
        <f t="shared" si="64"/>
        <v>140.52000000000001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ROW(Source!A129)</f>
        <v>129</v>
      </c>
      <c r="B132">
        <v>53860087</v>
      </c>
      <c r="C132">
        <v>53860572</v>
      </c>
      <c r="D132">
        <v>29556002</v>
      </c>
      <c r="E132">
        <v>1</v>
      </c>
      <c r="F132">
        <v>1</v>
      </c>
      <c r="G132">
        <v>29506949</v>
      </c>
      <c r="H132">
        <v>3</v>
      </c>
      <c r="I132" t="s">
        <v>332</v>
      </c>
      <c r="J132" t="s">
        <v>334</v>
      </c>
      <c r="K132" t="s">
        <v>333</v>
      </c>
      <c r="L132">
        <v>1327</v>
      </c>
      <c r="N132">
        <v>1005</v>
      </c>
      <c r="O132" t="s">
        <v>100</v>
      </c>
      <c r="P132" t="s">
        <v>100</v>
      </c>
      <c r="Q132">
        <v>1</v>
      </c>
      <c r="W132">
        <v>0</v>
      </c>
      <c r="X132">
        <v>-1525290802</v>
      </c>
      <c r="Y132">
        <f t="shared" si="57"/>
        <v>421</v>
      </c>
      <c r="AA132">
        <v>159.87</v>
      </c>
      <c r="AB132">
        <v>0</v>
      </c>
      <c r="AC132">
        <v>0</v>
      </c>
      <c r="AD132">
        <v>0</v>
      </c>
      <c r="AE132">
        <v>34.68</v>
      </c>
      <c r="AF132">
        <v>0</v>
      </c>
      <c r="AG132">
        <v>0</v>
      </c>
      <c r="AH132">
        <v>0</v>
      </c>
      <c r="AI132">
        <v>4.6100000000000003</v>
      </c>
      <c r="AJ132">
        <v>1</v>
      </c>
      <c r="AK132">
        <v>1</v>
      </c>
      <c r="AL132">
        <v>1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 t="s">
        <v>3</v>
      </c>
      <c r="AT132">
        <v>421</v>
      </c>
      <c r="AU132" t="s">
        <v>3</v>
      </c>
      <c r="AV132">
        <v>0</v>
      </c>
      <c r="AW132">
        <v>1</v>
      </c>
      <c r="AX132">
        <v>-1</v>
      </c>
      <c r="AY132">
        <v>0</v>
      </c>
      <c r="AZ132">
        <v>0</v>
      </c>
      <c r="BA132" t="s">
        <v>3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ROUND(Y132*Source!I129,9)</f>
        <v>71.569999999999993</v>
      </c>
      <c r="CY132">
        <f t="shared" si="58"/>
        <v>159.87</v>
      </c>
      <c r="CZ132">
        <f t="shared" si="59"/>
        <v>34.68</v>
      </c>
      <c r="DA132">
        <f t="shared" si="60"/>
        <v>4.6100000000000003</v>
      </c>
      <c r="DB132">
        <f t="shared" si="61"/>
        <v>14600.28</v>
      </c>
      <c r="DC132">
        <f t="shared" si="62"/>
        <v>0</v>
      </c>
      <c r="DD132" t="s">
        <v>3</v>
      </c>
      <c r="DE132" t="s">
        <v>3</v>
      </c>
      <c r="DF132">
        <f t="shared" si="63"/>
        <v>11441.9</v>
      </c>
      <c r="DG132">
        <f t="shared" si="54"/>
        <v>0</v>
      </c>
      <c r="DH132">
        <f t="shared" si="55"/>
        <v>0</v>
      </c>
      <c r="DI132">
        <f t="shared" si="56"/>
        <v>0</v>
      </c>
      <c r="DJ132">
        <f t="shared" si="64"/>
        <v>11441.9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ROW(Source!A129)</f>
        <v>129</v>
      </c>
      <c r="B133">
        <v>53860087</v>
      </c>
      <c r="C133">
        <v>53860572</v>
      </c>
      <c r="D133">
        <v>29556271</v>
      </c>
      <c r="E133">
        <v>1</v>
      </c>
      <c r="F133">
        <v>1</v>
      </c>
      <c r="G133">
        <v>29506949</v>
      </c>
      <c r="H133">
        <v>3</v>
      </c>
      <c r="I133" t="s">
        <v>336</v>
      </c>
      <c r="J133" t="s">
        <v>338</v>
      </c>
      <c r="K133" t="s">
        <v>337</v>
      </c>
      <c r="L133">
        <v>1339</v>
      </c>
      <c r="N133">
        <v>1007</v>
      </c>
      <c r="O133" t="s">
        <v>70</v>
      </c>
      <c r="P133" t="s">
        <v>70</v>
      </c>
      <c r="Q133">
        <v>1</v>
      </c>
      <c r="W133">
        <v>0</v>
      </c>
      <c r="X133">
        <v>724318371</v>
      </c>
      <c r="Y133">
        <f t="shared" si="57"/>
        <v>5</v>
      </c>
      <c r="AA133">
        <v>5337.29</v>
      </c>
      <c r="AB133">
        <v>0</v>
      </c>
      <c r="AC133">
        <v>0</v>
      </c>
      <c r="AD133">
        <v>0</v>
      </c>
      <c r="AE133">
        <v>609.28</v>
      </c>
      <c r="AF133">
        <v>0</v>
      </c>
      <c r="AG133">
        <v>0</v>
      </c>
      <c r="AH133">
        <v>0</v>
      </c>
      <c r="AI133">
        <v>8.76</v>
      </c>
      <c r="AJ133">
        <v>1</v>
      </c>
      <c r="AK133">
        <v>1</v>
      </c>
      <c r="AL133">
        <v>1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 t="s">
        <v>3</v>
      </c>
      <c r="AT133">
        <v>5</v>
      </c>
      <c r="AU133" t="s">
        <v>3</v>
      </c>
      <c r="AV133">
        <v>0</v>
      </c>
      <c r="AW133">
        <v>1</v>
      </c>
      <c r="AX133">
        <v>-1</v>
      </c>
      <c r="AY133">
        <v>0</v>
      </c>
      <c r="AZ133">
        <v>0</v>
      </c>
      <c r="BA133" t="s">
        <v>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v>0</v>
      </c>
      <c r="CX133">
        <f>ROUND(Y133*Source!I129,9)</f>
        <v>0.85</v>
      </c>
      <c r="CY133">
        <f t="shared" si="58"/>
        <v>5337.29</v>
      </c>
      <c r="CZ133">
        <f t="shared" si="59"/>
        <v>609.28</v>
      </c>
      <c r="DA133">
        <f t="shared" si="60"/>
        <v>8.76</v>
      </c>
      <c r="DB133">
        <f t="shared" si="61"/>
        <v>3046.4</v>
      </c>
      <c r="DC133">
        <f t="shared" si="62"/>
        <v>0</v>
      </c>
      <c r="DD133" t="s">
        <v>3</v>
      </c>
      <c r="DE133" t="s">
        <v>3</v>
      </c>
      <c r="DF133">
        <f t="shared" si="63"/>
        <v>4536.7</v>
      </c>
      <c r="DG133">
        <f t="shared" si="54"/>
        <v>0</v>
      </c>
      <c r="DH133">
        <f t="shared" si="55"/>
        <v>0</v>
      </c>
      <c r="DI133">
        <f t="shared" si="56"/>
        <v>0</v>
      </c>
      <c r="DJ133">
        <f t="shared" si="64"/>
        <v>4536.7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ROW(Source!A129)</f>
        <v>129</v>
      </c>
      <c r="B134">
        <v>53860087</v>
      </c>
      <c r="C134">
        <v>53860572</v>
      </c>
      <c r="D134">
        <v>29577897</v>
      </c>
      <c r="E134">
        <v>1</v>
      </c>
      <c r="F134">
        <v>1</v>
      </c>
      <c r="G134">
        <v>29506949</v>
      </c>
      <c r="H134">
        <v>3</v>
      </c>
      <c r="I134" t="s">
        <v>328</v>
      </c>
      <c r="J134" t="s">
        <v>330</v>
      </c>
      <c r="K134" t="s">
        <v>329</v>
      </c>
      <c r="L134">
        <v>1301</v>
      </c>
      <c r="N134">
        <v>1003</v>
      </c>
      <c r="O134" t="s">
        <v>125</v>
      </c>
      <c r="P134" t="s">
        <v>125</v>
      </c>
      <c r="Q134">
        <v>1</v>
      </c>
      <c r="W134">
        <v>0</v>
      </c>
      <c r="X134">
        <v>-1730858988</v>
      </c>
      <c r="Y134">
        <f t="shared" si="57"/>
        <v>76</v>
      </c>
      <c r="AA134">
        <v>91.25</v>
      </c>
      <c r="AB134">
        <v>0</v>
      </c>
      <c r="AC134">
        <v>0</v>
      </c>
      <c r="AD134">
        <v>0</v>
      </c>
      <c r="AE134">
        <v>23.58</v>
      </c>
      <c r="AF134">
        <v>0</v>
      </c>
      <c r="AG134">
        <v>0</v>
      </c>
      <c r="AH134">
        <v>0</v>
      </c>
      <c r="AI134">
        <v>3.87</v>
      </c>
      <c r="AJ134">
        <v>1</v>
      </c>
      <c r="AK134">
        <v>1</v>
      </c>
      <c r="AL134">
        <v>1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 t="s">
        <v>3</v>
      </c>
      <c r="AT134">
        <v>76</v>
      </c>
      <c r="AU134" t="s">
        <v>3</v>
      </c>
      <c r="AV134">
        <v>0</v>
      </c>
      <c r="AW134">
        <v>1</v>
      </c>
      <c r="AX134">
        <v>-1</v>
      </c>
      <c r="AY134">
        <v>0</v>
      </c>
      <c r="AZ134">
        <v>0</v>
      </c>
      <c r="BA134" t="s">
        <v>3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ROUND(Y134*Source!I129,9)</f>
        <v>12.92</v>
      </c>
      <c r="CY134">
        <f t="shared" si="58"/>
        <v>91.25</v>
      </c>
      <c r="CZ134">
        <f t="shared" si="59"/>
        <v>23.58</v>
      </c>
      <c r="DA134">
        <f t="shared" si="60"/>
        <v>3.87</v>
      </c>
      <c r="DB134">
        <f t="shared" si="61"/>
        <v>1792.08</v>
      </c>
      <c r="DC134">
        <f t="shared" si="62"/>
        <v>0</v>
      </c>
      <c r="DD134" t="s">
        <v>3</v>
      </c>
      <c r="DE134" t="s">
        <v>3</v>
      </c>
      <c r="DF134">
        <f t="shared" si="63"/>
        <v>1178.95</v>
      </c>
      <c r="DG134">
        <f t="shared" si="54"/>
        <v>0</v>
      </c>
      <c r="DH134">
        <f t="shared" si="55"/>
        <v>0</v>
      </c>
      <c r="DI134">
        <f t="shared" si="56"/>
        <v>0</v>
      </c>
      <c r="DJ134">
        <f t="shared" si="64"/>
        <v>1178.95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ROW(Source!A129)</f>
        <v>129</v>
      </c>
      <c r="B135">
        <v>53860087</v>
      </c>
      <c r="C135">
        <v>53860572</v>
      </c>
      <c r="D135">
        <v>29577901</v>
      </c>
      <c r="E135">
        <v>1</v>
      </c>
      <c r="F135">
        <v>1</v>
      </c>
      <c r="G135">
        <v>29506949</v>
      </c>
      <c r="H135">
        <v>3</v>
      </c>
      <c r="I135" t="s">
        <v>324</v>
      </c>
      <c r="J135" t="s">
        <v>326</v>
      </c>
      <c r="K135" t="s">
        <v>325</v>
      </c>
      <c r="L135">
        <v>1301</v>
      </c>
      <c r="N135">
        <v>1003</v>
      </c>
      <c r="O135" t="s">
        <v>125</v>
      </c>
      <c r="P135" t="s">
        <v>125</v>
      </c>
      <c r="Q135">
        <v>1</v>
      </c>
      <c r="W135">
        <v>0</v>
      </c>
      <c r="X135">
        <v>622983818</v>
      </c>
      <c r="Y135">
        <f t="shared" si="57"/>
        <v>204</v>
      </c>
      <c r="AA135">
        <v>98.76</v>
      </c>
      <c r="AB135">
        <v>0</v>
      </c>
      <c r="AC135">
        <v>0</v>
      </c>
      <c r="AD135">
        <v>0</v>
      </c>
      <c r="AE135">
        <v>19.440000000000001</v>
      </c>
      <c r="AF135">
        <v>0</v>
      </c>
      <c r="AG135">
        <v>0</v>
      </c>
      <c r="AH135">
        <v>0</v>
      </c>
      <c r="AI135">
        <v>5.08</v>
      </c>
      <c r="AJ135">
        <v>1</v>
      </c>
      <c r="AK135">
        <v>1</v>
      </c>
      <c r="AL135">
        <v>1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 t="s">
        <v>3</v>
      </c>
      <c r="AT135">
        <v>204</v>
      </c>
      <c r="AU135" t="s">
        <v>3</v>
      </c>
      <c r="AV135">
        <v>0</v>
      </c>
      <c r="AW135">
        <v>1</v>
      </c>
      <c r="AX135">
        <v>-1</v>
      </c>
      <c r="AY135">
        <v>0</v>
      </c>
      <c r="AZ135">
        <v>0</v>
      </c>
      <c r="BA135" t="s">
        <v>3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V135">
        <v>0</v>
      </c>
      <c r="CW135">
        <v>0</v>
      </c>
      <c r="CX135">
        <f>ROUND(Y135*Source!I129,9)</f>
        <v>34.68</v>
      </c>
      <c r="CY135">
        <f t="shared" si="58"/>
        <v>98.76</v>
      </c>
      <c r="CZ135">
        <f t="shared" si="59"/>
        <v>19.440000000000001</v>
      </c>
      <c r="DA135">
        <f t="shared" si="60"/>
        <v>5.08</v>
      </c>
      <c r="DB135">
        <f t="shared" si="61"/>
        <v>3965.76</v>
      </c>
      <c r="DC135">
        <f t="shared" si="62"/>
        <v>0</v>
      </c>
      <c r="DD135" t="s">
        <v>3</v>
      </c>
      <c r="DE135" t="s">
        <v>3</v>
      </c>
      <c r="DF135">
        <f t="shared" si="63"/>
        <v>3425</v>
      </c>
      <c r="DG135">
        <f t="shared" si="54"/>
        <v>0</v>
      </c>
      <c r="DH135">
        <f t="shared" si="55"/>
        <v>0</v>
      </c>
      <c r="DI135">
        <f t="shared" si="56"/>
        <v>0</v>
      </c>
      <c r="DJ135">
        <f t="shared" si="64"/>
        <v>3425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ROW(Source!A135)</f>
        <v>135</v>
      </c>
      <c r="B136">
        <v>53860087</v>
      </c>
      <c r="C136">
        <v>53860583</v>
      </c>
      <c r="D136">
        <v>29506954</v>
      </c>
      <c r="E136">
        <v>29506949</v>
      </c>
      <c r="F136">
        <v>1</v>
      </c>
      <c r="G136">
        <v>29506949</v>
      </c>
      <c r="H136">
        <v>1</v>
      </c>
      <c r="I136" t="s">
        <v>638</v>
      </c>
      <c r="J136" t="s">
        <v>3</v>
      </c>
      <c r="K136" t="s">
        <v>639</v>
      </c>
      <c r="L136">
        <v>1191</v>
      </c>
      <c r="N136">
        <v>1013</v>
      </c>
      <c r="O136" t="s">
        <v>640</v>
      </c>
      <c r="P136" t="s">
        <v>640</v>
      </c>
      <c r="Q136">
        <v>1</v>
      </c>
      <c r="W136">
        <v>0</v>
      </c>
      <c r="X136">
        <v>476480486</v>
      </c>
      <c r="Y136">
        <f>(AT136*1.15)</f>
        <v>104.76499999999999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91.1</v>
      </c>
      <c r="AU136" t="s">
        <v>52</v>
      </c>
      <c r="AV136">
        <v>1</v>
      </c>
      <c r="AW136">
        <v>2</v>
      </c>
      <c r="AX136">
        <v>53861248</v>
      </c>
      <c r="AY136">
        <v>1</v>
      </c>
      <c r="AZ136">
        <v>0</v>
      </c>
      <c r="BA136">
        <v>227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U136">
        <f>ROUND(AT136*Source!I135*AH136*AL136,2)</f>
        <v>0</v>
      </c>
      <c r="CV136">
        <f>ROUND(Y136*Source!I135,9)</f>
        <v>392.86874999999998</v>
      </c>
      <c r="CW136">
        <v>0</v>
      </c>
      <c r="CX136">
        <f>ROUND(Y136*Source!I135,9)</f>
        <v>392.86874999999998</v>
      </c>
      <c r="CY136">
        <f>AD136</f>
        <v>0</v>
      </c>
      <c r="CZ136">
        <f>AH136</f>
        <v>0</v>
      </c>
      <c r="DA136">
        <f>AL136</f>
        <v>1</v>
      </c>
      <c r="DB136">
        <f>ROUND((ROUND(AT136*CZ136,2)*1.15),6)</f>
        <v>0</v>
      </c>
      <c r="DC136">
        <f>ROUND((ROUND(AT136*AG136,2)*1.15),6)</f>
        <v>0</v>
      </c>
      <c r="DD136" t="s">
        <v>3</v>
      </c>
      <c r="DE136" t="s">
        <v>3</v>
      </c>
      <c r="DF136">
        <f t="shared" ref="DF136:DF141" si="65">ROUND(ROUND(AE136,2)*CX136,2)</f>
        <v>0</v>
      </c>
      <c r="DG136">
        <f t="shared" si="54"/>
        <v>0</v>
      </c>
      <c r="DH136">
        <f t="shared" si="55"/>
        <v>0</v>
      </c>
      <c r="DI136">
        <f t="shared" si="56"/>
        <v>0</v>
      </c>
      <c r="DJ136">
        <f>DI136</f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ROW(Source!A135)</f>
        <v>135</v>
      </c>
      <c r="B137">
        <v>53860087</v>
      </c>
      <c r="C137">
        <v>53860583</v>
      </c>
      <c r="D137">
        <v>29580491</v>
      </c>
      <c r="E137">
        <v>1</v>
      </c>
      <c r="F137">
        <v>1</v>
      </c>
      <c r="G137">
        <v>29506949</v>
      </c>
      <c r="H137">
        <v>2</v>
      </c>
      <c r="I137" t="s">
        <v>650</v>
      </c>
      <c r="J137" t="s">
        <v>651</v>
      </c>
      <c r="K137" t="s">
        <v>652</v>
      </c>
      <c r="L137">
        <v>1368</v>
      </c>
      <c r="N137">
        <v>1011</v>
      </c>
      <c r="O137" t="s">
        <v>647</v>
      </c>
      <c r="P137" t="s">
        <v>647</v>
      </c>
      <c r="Q137">
        <v>1</v>
      </c>
      <c r="W137">
        <v>0</v>
      </c>
      <c r="X137">
        <v>-1440889904</v>
      </c>
      <c r="Y137">
        <f>(AT137*1.25)</f>
        <v>0.4</v>
      </c>
      <c r="AA137">
        <v>0</v>
      </c>
      <c r="AB137">
        <v>1051.9000000000001</v>
      </c>
      <c r="AC137">
        <v>397.72</v>
      </c>
      <c r="AD137">
        <v>0</v>
      </c>
      <c r="AE137">
        <v>0</v>
      </c>
      <c r="AF137">
        <v>83.1</v>
      </c>
      <c r="AG137">
        <v>12.62</v>
      </c>
      <c r="AH137">
        <v>0</v>
      </c>
      <c r="AI137">
        <v>1</v>
      </c>
      <c r="AJ137">
        <v>12.09</v>
      </c>
      <c r="AK137">
        <v>30.1</v>
      </c>
      <c r="AL137">
        <v>1</v>
      </c>
      <c r="AM137">
        <v>2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0.32</v>
      </c>
      <c r="AU137" t="s">
        <v>51</v>
      </c>
      <c r="AV137">
        <v>0</v>
      </c>
      <c r="AW137">
        <v>2</v>
      </c>
      <c r="AX137">
        <v>53861249</v>
      </c>
      <c r="AY137">
        <v>1</v>
      </c>
      <c r="AZ137">
        <v>0</v>
      </c>
      <c r="BA137">
        <v>228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f>ROUND(Y137*Source!I135,9)</f>
        <v>1.5</v>
      </c>
      <c r="CX137">
        <f>ROUND(Y137*Source!I135,9)</f>
        <v>1.5</v>
      </c>
      <c r="CY137">
        <f>AB137</f>
        <v>1051.9000000000001</v>
      </c>
      <c r="CZ137">
        <f>AF137</f>
        <v>83.1</v>
      </c>
      <c r="DA137">
        <f>AJ137</f>
        <v>12.09</v>
      </c>
      <c r="DB137">
        <f>ROUND((ROUND(AT137*CZ137,2)*1.25),6)</f>
        <v>33.237499999999997</v>
      </c>
      <c r="DC137">
        <f>ROUND((ROUND(AT137*AG137,2)*1.25),6)</f>
        <v>5.05</v>
      </c>
      <c r="DD137" t="s">
        <v>3</v>
      </c>
      <c r="DE137" t="s">
        <v>3</v>
      </c>
      <c r="DF137">
        <f t="shared" si="65"/>
        <v>0</v>
      </c>
      <c r="DG137">
        <f>ROUND(ROUND(AF137*AJ137,2)*CX137,2)</f>
        <v>1507.02</v>
      </c>
      <c r="DH137">
        <f>ROUND(ROUND(AG137*AK137,2)*CX137,2)</f>
        <v>569.79</v>
      </c>
      <c r="DI137">
        <f t="shared" si="56"/>
        <v>0</v>
      </c>
      <c r="DJ137">
        <f>DG137</f>
        <v>1507.02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ROW(Source!A135)</f>
        <v>135</v>
      </c>
      <c r="B138">
        <v>53860087</v>
      </c>
      <c r="C138">
        <v>53860583</v>
      </c>
      <c r="D138">
        <v>29580614</v>
      </c>
      <c r="E138">
        <v>1</v>
      </c>
      <c r="F138">
        <v>1</v>
      </c>
      <c r="G138">
        <v>29506949</v>
      </c>
      <c r="H138">
        <v>2</v>
      </c>
      <c r="I138" t="s">
        <v>682</v>
      </c>
      <c r="J138" t="s">
        <v>683</v>
      </c>
      <c r="K138" t="s">
        <v>684</v>
      </c>
      <c r="L138">
        <v>1368</v>
      </c>
      <c r="N138">
        <v>1011</v>
      </c>
      <c r="O138" t="s">
        <v>647</v>
      </c>
      <c r="P138" t="s">
        <v>647</v>
      </c>
      <c r="Q138">
        <v>1</v>
      </c>
      <c r="W138">
        <v>0</v>
      </c>
      <c r="X138">
        <v>-798320174</v>
      </c>
      <c r="Y138">
        <f>(AT138*1.25)</f>
        <v>0.76249999999999996</v>
      </c>
      <c r="AA138">
        <v>0</v>
      </c>
      <c r="AB138">
        <v>9.86</v>
      </c>
      <c r="AC138">
        <v>0</v>
      </c>
      <c r="AD138">
        <v>0</v>
      </c>
      <c r="AE138">
        <v>0</v>
      </c>
      <c r="AF138">
        <v>1.1100000000000001</v>
      </c>
      <c r="AG138">
        <v>0</v>
      </c>
      <c r="AH138">
        <v>0</v>
      </c>
      <c r="AI138">
        <v>1</v>
      </c>
      <c r="AJ138">
        <v>8.48</v>
      </c>
      <c r="AK138">
        <v>30.1</v>
      </c>
      <c r="AL138">
        <v>1</v>
      </c>
      <c r="AM138">
        <v>2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0.61</v>
      </c>
      <c r="AU138" t="s">
        <v>51</v>
      </c>
      <c r="AV138">
        <v>0</v>
      </c>
      <c r="AW138">
        <v>2</v>
      </c>
      <c r="AX138">
        <v>53861251</v>
      </c>
      <c r="AY138">
        <v>1</v>
      </c>
      <c r="AZ138">
        <v>0</v>
      </c>
      <c r="BA138">
        <v>229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f>ROUND(Y138*Source!I135,9)</f>
        <v>2.859375</v>
      </c>
      <c r="CX138">
        <f>ROUND(Y138*Source!I135,9)</f>
        <v>2.859375</v>
      </c>
      <c r="CY138">
        <f>AB138</f>
        <v>9.86</v>
      </c>
      <c r="CZ138">
        <f>AF138</f>
        <v>1.1100000000000001</v>
      </c>
      <c r="DA138">
        <f>AJ138</f>
        <v>8.48</v>
      </c>
      <c r="DB138">
        <f>ROUND((ROUND(AT138*CZ138,2)*1.25),6)</f>
        <v>0.85</v>
      </c>
      <c r="DC138">
        <f>ROUND((ROUND(AT138*AG138,2)*1.25),6)</f>
        <v>0</v>
      </c>
      <c r="DD138" t="s">
        <v>3</v>
      </c>
      <c r="DE138" t="s">
        <v>3</v>
      </c>
      <c r="DF138">
        <f t="shared" si="65"/>
        <v>0</v>
      </c>
      <c r="DG138">
        <f>ROUND(ROUND(AF138*AJ138,2)*CX138,2)</f>
        <v>26.91</v>
      </c>
      <c r="DH138">
        <f>ROUND(ROUND(AG138*AK138,2)*CX138,2)</f>
        <v>0</v>
      </c>
      <c r="DI138">
        <f t="shared" si="56"/>
        <v>0</v>
      </c>
      <c r="DJ138">
        <f>DG138</f>
        <v>26.91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ROW(Source!A135)</f>
        <v>135</v>
      </c>
      <c r="B139">
        <v>53860087</v>
      </c>
      <c r="C139">
        <v>53860583</v>
      </c>
      <c r="D139">
        <v>29580549</v>
      </c>
      <c r="E139">
        <v>1</v>
      </c>
      <c r="F139">
        <v>1</v>
      </c>
      <c r="G139">
        <v>29506949</v>
      </c>
      <c r="H139">
        <v>2</v>
      </c>
      <c r="I139" t="s">
        <v>685</v>
      </c>
      <c r="J139" t="s">
        <v>686</v>
      </c>
      <c r="K139" t="s">
        <v>687</v>
      </c>
      <c r="L139">
        <v>1368</v>
      </c>
      <c r="N139">
        <v>1011</v>
      </c>
      <c r="O139" t="s">
        <v>647</v>
      </c>
      <c r="P139" t="s">
        <v>647</v>
      </c>
      <c r="Q139">
        <v>1</v>
      </c>
      <c r="W139">
        <v>0</v>
      </c>
      <c r="X139">
        <v>517245713</v>
      </c>
      <c r="Y139">
        <f>(AT139*1.25)</f>
        <v>0.17500000000000002</v>
      </c>
      <c r="AA139">
        <v>0</v>
      </c>
      <c r="AB139">
        <v>3.47</v>
      </c>
      <c r="AC139">
        <v>0</v>
      </c>
      <c r="AD139">
        <v>0</v>
      </c>
      <c r="AE139">
        <v>0</v>
      </c>
      <c r="AF139">
        <v>0.39</v>
      </c>
      <c r="AG139">
        <v>0</v>
      </c>
      <c r="AH139">
        <v>0</v>
      </c>
      <c r="AI139">
        <v>1</v>
      </c>
      <c r="AJ139">
        <v>8.51</v>
      </c>
      <c r="AK139">
        <v>30.1</v>
      </c>
      <c r="AL139">
        <v>1</v>
      </c>
      <c r="AM139">
        <v>2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0.14000000000000001</v>
      </c>
      <c r="AU139" t="s">
        <v>51</v>
      </c>
      <c r="AV139">
        <v>0</v>
      </c>
      <c r="AW139">
        <v>2</v>
      </c>
      <c r="AX139">
        <v>53861252</v>
      </c>
      <c r="AY139">
        <v>1</v>
      </c>
      <c r="AZ139">
        <v>0</v>
      </c>
      <c r="BA139">
        <v>230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f>ROUND(Y139*Source!I135,9)</f>
        <v>0.65625</v>
      </c>
      <c r="CX139">
        <f>ROUND(Y139*Source!I135,9)</f>
        <v>0.65625</v>
      </c>
      <c r="CY139">
        <f>AB139</f>
        <v>3.47</v>
      </c>
      <c r="CZ139">
        <f>AF139</f>
        <v>0.39</v>
      </c>
      <c r="DA139">
        <f>AJ139</f>
        <v>8.51</v>
      </c>
      <c r="DB139">
        <f>ROUND((ROUND(AT139*CZ139,2)*1.25),6)</f>
        <v>6.25E-2</v>
      </c>
      <c r="DC139">
        <f>ROUND((ROUND(AT139*AG139,2)*1.25),6)</f>
        <v>0</v>
      </c>
      <c r="DD139" t="s">
        <v>3</v>
      </c>
      <c r="DE139" t="s">
        <v>3</v>
      </c>
      <c r="DF139">
        <f t="shared" si="65"/>
        <v>0</v>
      </c>
      <c r="DG139">
        <f>ROUND(ROUND(AF139*AJ139,2)*CX139,2)</f>
        <v>2.1800000000000002</v>
      </c>
      <c r="DH139">
        <f>ROUND(ROUND(AG139*AK139,2)*CX139,2)</f>
        <v>0</v>
      </c>
      <c r="DI139">
        <f t="shared" si="56"/>
        <v>0</v>
      </c>
      <c r="DJ139">
        <f>DG139</f>
        <v>2.1800000000000002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ROW(Source!A135)</f>
        <v>135</v>
      </c>
      <c r="B140">
        <v>53860087</v>
      </c>
      <c r="C140">
        <v>53860583</v>
      </c>
      <c r="D140">
        <v>29580571</v>
      </c>
      <c r="E140">
        <v>1</v>
      </c>
      <c r="F140">
        <v>1</v>
      </c>
      <c r="G140">
        <v>29506949</v>
      </c>
      <c r="H140">
        <v>2</v>
      </c>
      <c r="I140" t="s">
        <v>644</v>
      </c>
      <c r="J140" t="s">
        <v>645</v>
      </c>
      <c r="K140" t="s">
        <v>646</v>
      </c>
      <c r="L140">
        <v>1368</v>
      </c>
      <c r="N140">
        <v>1011</v>
      </c>
      <c r="O140" t="s">
        <v>647</v>
      </c>
      <c r="P140" t="s">
        <v>647</v>
      </c>
      <c r="Q140">
        <v>1</v>
      </c>
      <c r="W140">
        <v>0</v>
      </c>
      <c r="X140">
        <v>-2099052417</v>
      </c>
      <c r="Y140">
        <f>(AT140*1.25)</f>
        <v>2.5</v>
      </c>
      <c r="AA140">
        <v>0</v>
      </c>
      <c r="AB140">
        <v>4.21</v>
      </c>
      <c r="AC140">
        <v>0</v>
      </c>
      <c r="AD140">
        <v>0</v>
      </c>
      <c r="AE140">
        <v>0</v>
      </c>
      <c r="AF140">
        <v>0.47</v>
      </c>
      <c r="AG140">
        <v>0</v>
      </c>
      <c r="AH140">
        <v>0</v>
      </c>
      <c r="AI140">
        <v>1</v>
      </c>
      <c r="AJ140">
        <v>8.5500000000000007</v>
      </c>
      <c r="AK140">
        <v>30.1</v>
      </c>
      <c r="AL140">
        <v>1</v>
      </c>
      <c r="AM140">
        <v>2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2</v>
      </c>
      <c r="AU140" t="s">
        <v>51</v>
      </c>
      <c r="AV140">
        <v>0</v>
      </c>
      <c r="AW140">
        <v>2</v>
      </c>
      <c r="AX140">
        <v>53861253</v>
      </c>
      <c r="AY140">
        <v>1</v>
      </c>
      <c r="AZ140">
        <v>0</v>
      </c>
      <c r="BA140">
        <v>231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f>ROUND(Y140*Source!I135,9)</f>
        <v>9.375</v>
      </c>
      <c r="CX140">
        <f>ROUND(Y140*Source!I135,9)</f>
        <v>9.375</v>
      </c>
      <c r="CY140">
        <f>AB140</f>
        <v>4.21</v>
      </c>
      <c r="CZ140">
        <f>AF140</f>
        <v>0.47</v>
      </c>
      <c r="DA140">
        <f>AJ140</f>
        <v>8.5500000000000007</v>
      </c>
      <c r="DB140">
        <f>ROUND((ROUND(AT140*CZ140,2)*1.25),6)</f>
        <v>1.175</v>
      </c>
      <c r="DC140">
        <f>ROUND((ROUND(AT140*AG140,2)*1.25),6)</f>
        <v>0</v>
      </c>
      <c r="DD140" t="s">
        <v>3</v>
      </c>
      <c r="DE140" t="s">
        <v>3</v>
      </c>
      <c r="DF140">
        <f t="shared" si="65"/>
        <v>0</v>
      </c>
      <c r="DG140">
        <f>ROUND(ROUND(AF140*AJ140,2)*CX140,2)</f>
        <v>37.69</v>
      </c>
      <c r="DH140">
        <f>ROUND(ROUND(AG140*AK140,2)*CX140,2)</f>
        <v>0</v>
      </c>
      <c r="DI140">
        <f t="shared" si="56"/>
        <v>0</v>
      </c>
      <c r="DJ140">
        <f>DG140</f>
        <v>37.69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ROW(Source!A135)</f>
        <v>135</v>
      </c>
      <c r="B141">
        <v>53860087</v>
      </c>
      <c r="C141">
        <v>53860583</v>
      </c>
      <c r="D141">
        <v>29579738</v>
      </c>
      <c r="E141">
        <v>1</v>
      </c>
      <c r="F141">
        <v>1</v>
      </c>
      <c r="G141">
        <v>29506949</v>
      </c>
      <c r="H141">
        <v>2</v>
      </c>
      <c r="I141" t="s">
        <v>665</v>
      </c>
      <c r="J141" t="s">
        <v>666</v>
      </c>
      <c r="K141" t="s">
        <v>667</v>
      </c>
      <c r="L141">
        <v>1368</v>
      </c>
      <c r="N141">
        <v>1011</v>
      </c>
      <c r="O141" t="s">
        <v>647</v>
      </c>
      <c r="P141" t="s">
        <v>647</v>
      </c>
      <c r="Q141">
        <v>1</v>
      </c>
      <c r="W141">
        <v>0</v>
      </c>
      <c r="X141">
        <v>1668154095</v>
      </c>
      <c r="Y141">
        <f>(AT141*1.25)</f>
        <v>0.4</v>
      </c>
      <c r="AA141">
        <v>0</v>
      </c>
      <c r="AB141">
        <v>2050.37</v>
      </c>
      <c r="AC141">
        <v>533.54</v>
      </c>
      <c r="AD141">
        <v>0</v>
      </c>
      <c r="AE141">
        <v>0</v>
      </c>
      <c r="AF141">
        <v>179.17</v>
      </c>
      <c r="AG141">
        <v>16.93</v>
      </c>
      <c r="AH141">
        <v>0</v>
      </c>
      <c r="AI141">
        <v>1</v>
      </c>
      <c r="AJ141">
        <v>10.93</v>
      </c>
      <c r="AK141">
        <v>30.1</v>
      </c>
      <c r="AL141">
        <v>1</v>
      </c>
      <c r="AM141">
        <v>2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0.32</v>
      </c>
      <c r="AU141" t="s">
        <v>51</v>
      </c>
      <c r="AV141">
        <v>0</v>
      </c>
      <c r="AW141">
        <v>2</v>
      </c>
      <c r="AX141">
        <v>53861250</v>
      </c>
      <c r="AY141">
        <v>1</v>
      </c>
      <c r="AZ141">
        <v>0</v>
      </c>
      <c r="BA141">
        <v>232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f>ROUND(Y141*Source!I135,9)</f>
        <v>1.5</v>
      </c>
      <c r="CX141">
        <f>ROUND(Y141*Source!I135,9)</f>
        <v>1.5</v>
      </c>
      <c r="CY141">
        <f>AB141</f>
        <v>2050.37</v>
      </c>
      <c r="CZ141">
        <f>AF141</f>
        <v>179.17</v>
      </c>
      <c r="DA141">
        <f>AJ141</f>
        <v>10.93</v>
      </c>
      <c r="DB141">
        <f>ROUND((ROUND(AT141*CZ141,2)*1.25),6)</f>
        <v>71.662499999999994</v>
      </c>
      <c r="DC141">
        <f>ROUND((ROUND(AT141*AG141,2)*1.25),6)</f>
        <v>6.7750000000000004</v>
      </c>
      <c r="DD141" t="s">
        <v>3</v>
      </c>
      <c r="DE141" t="s">
        <v>3</v>
      </c>
      <c r="DF141">
        <f t="shared" si="65"/>
        <v>0</v>
      </c>
      <c r="DG141">
        <f>ROUND(ROUND(AF141*AJ141,2)*CX141,2)</f>
        <v>2937.5</v>
      </c>
      <c r="DH141">
        <f>ROUND(ROUND(AG141*AK141,2)*CX141,2)</f>
        <v>764.39</v>
      </c>
      <c r="DI141">
        <f t="shared" si="56"/>
        <v>0</v>
      </c>
      <c r="DJ141">
        <f>DG141</f>
        <v>2937.5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ROW(Source!A135)</f>
        <v>135</v>
      </c>
      <c r="B142">
        <v>53860087</v>
      </c>
      <c r="C142">
        <v>53860583</v>
      </c>
      <c r="D142">
        <v>29558353</v>
      </c>
      <c r="E142">
        <v>1</v>
      </c>
      <c r="F142">
        <v>1</v>
      </c>
      <c r="G142">
        <v>29506949</v>
      </c>
      <c r="H142">
        <v>3</v>
      </c>
      <c r="I142" t="s">
        <v>727</v>
      </c>
      <c r="J142" t="s">
        <v>728</v>
      </c>
      <c r="K142" t="s">
        <v>729</v>
      </c>
      <c r="L142">
        <v>1346</v>
      </c>
      <c r="N142">
        <v>1009</v>
      </c>
      <c r="O142" t="s">
        <v>58</v>
      </c>
      <c r="P142" t="s">
        <v>58</v>
      </c>
      <c r="Q142">
        <v>1</v>
      </c>
      <c r="W142">
        <v>0</v>
      </c>
      <c r="X142">
        <v>-663292889</v>
      </c>
      <c r="Y142">
        <f t="shared" ref="Y142:Y156" si="66">AT142</f>
        <v>10</v>
      </c>
      <c r="AA142">
        <v>80.66</v>
      </c>
      <c r="AB142">
        <v>0</v>
      </c>
      <c r="AC142">
        <v>0</v>
      </c>
      <c r="AD142">
        <v>0</v>
      </c>
      <c r="AE142">
        <v>17.309999999999999</v>
      </c>
      <c r="AF142">
        <v>0</v>
      </c>
      <c r="AG142">
        <v>0</v>
      </c>
      <c r="AH142">
        <v>0</v>
      </c>
      <c r="AI142">
        <v>4.66</v>
      </c>
      <c r="AJ142">
        <v>1</v>
      </c>
      <c r="AK142">
        <v>1</v>
      </c>
      <c r="AL142">
        <v>1</v>
      </c>
      <c r="AM142">
        <v>2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10</v>
      </c>
      <c r="AU142" t="s">
        <v>3</v>
      </c>
      <c r="AV142">
        <v>0</v>
      </c>
      <c r="AW142">
        <v>2</v>
      </c>
      <c r="AX142">
        <v>53861254</v>
      </c>
      <c r="AY142">
        <v>1</v>
      </c>
      <c r="AZ142">
        <v>0</v>
      </c>
      <c r="BA142">
        <v>233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v>0</v>
      </c>
      <c r="CX142">
        <f>ROUND(Y142*Source!I135,9)</f>
        <v>37.5</v>
      </c>
      <c r="CY142">
        <f t="shared" ref="CY142:CY156" si="67">AA142</f>
        <v>80.66</v>
      </c>
      <c r="CZ142">
        <f t="shared" ref="CZ142:CZ156" si="68">AE142</f>
        <v>17.309999999999999</v>
      </c>
      <c r="DA142">
        <f t="shared" ref="DA142:DA156" si="69">AI142</f>
        <v>4.66</v>
      </c>
      <c r="DB142">
        <f t="shared" ref="DB142:DB156" si="70">ROUND(ROUND(AT142*CZ142,2),6)</f>
        <v>173.1</v>
      </c>
      <c r="DC142">
        <f t="shared" ref="DC142:DC156" si="71">ROUND(ROUND(AT142*AG142,2),6)</f>
        <v>0</v>
      </c>
      <c r="DD142" t="s">
        <v>3</v>
      </c>
      <c r="DE142" t="s">
        <v>3</v>
      </c>
      <c r="DF142">
        <f t="shared" ref="DF142:DF156" si="72">ROUND(ROUND(AE142*AI142,2)*CX142,2)</f>
        <v>3024.75</v>
      </c>
      <c r="DG142">
        <f t="shared" ref="DG142:DG157" si="73">ROUND(ROUND(AF142,2)*CX142,2)</f>
        <v>0</v>
      </c>
      <c r="DH142">
        <f t="shared" ref="DH142:DH157" si="74">ROUND(ROUND(AG142,2)*CX142,2)</f>
        <v>0</v>
      </c>
      <c r="DI142">
        <f t="shared" si="56"/>
        <v>0</v>
      </c>
      <c r="DJ142">
        <f t="shared" ref="DJ142:DJ156" si="75">DF142</f>
        <v>3024.75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ROW(Source!A135)</f>
        <v>135</v>
      </c>
      <c r="B143">
        <v>53860087</v>
      </c>
      <c r="C143">
        <v>53860583</v>
      </c>
      <c r="D143">
        <v>29558790</v>
      </c>
      <c r="E143">
        <v>1</v>
      </c>
      <c r="F143">
        <v>1</v>
      </c>
      <c r="G143">
        <v>29506949</v>
      </c>
      <c r="H143">
        <v>3</v>
      </c>
      <c r="I143" t="s">
        <v>730</v>
      </c>
      <c r="J143" t="s">
        <v>731</v>
      </c>
      <c r="K143" t="s">
        <v>732</v>
      </c>
      <c r="L143">
        <v>1354</v>
      </c>
      <c r="N143">
        <v>1010</v>
      </c>
      <c r="O143" t="s">
        <v>536</v>
      </c>
      <c r="P143" t="s">
        <v>536</v>
      </c>
      <c r="Q143">
        <v>1</v>
      </c>
      <c r="W143">
        <v>0</v>
      </c>
      <c r="X143">
        <v>1010128000</v>
      </c>
      <c r="Y143">
        <f t="shared" si="66"/>
        <v>7</v>
      </c>
      <c r="AA143">
        <v>132.1</v>
      </c>
      <c r="AB143">
        <v>0</v>
      </c>
      <c r="AC143">
        <v>0</v>
      </c>
      <c r="AD143">
        <v>0</v>
      </c>
      <c r="AE143">
        <v>15.36</v>
      </c>
      <c r="AF143">
        <v>0</v>
      </c>
      <c r="AG143">
        <v>0</v>
      </c>
      <c r="AH143">
        <v>0</v>
      </c>
      <c r="AI143">
        <v>8.6</v>
      </c>
      <c r="AJ143">
        <v>1</v>
      </c>
      <c r="AK143">
        <v>1</v>
      </c>
      <c r="AL143">
        <v>1</v>
      </c>
      <c r="AM143">
        <v>2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7</v>
      </c>
      <c r="AU143" t="s">
        <v>3</v>
      </c>
      <c r="AV143">
        <v>0</v>
      </c>
      <c r="AW143">
        <v>2</v>
      </c>
      <c r="AX143">
        <v>53861255</v>
      </c>
      <c r="AY143">
        <v>1</v>
      </c>
      <c r="AZ143">
        <v>0</v>
      </c>
      <c r="BA143">
        <v>234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v>0</v>
      </c>
      <c r="CX143">
        <f>ROUND(Y143*Source!I135,9)</f>
        <v>26.25</v>
      </c>
      <c r="CY143">
        <f t="shared" si="67"/>
        <v>132.1</v>
      </c>
      <c r="CZ143">
        <f t="shared" si="68"/>
        <v>15.36</v>
      </c>
      <c r="DA143">
        <f t="shared" si="69"/>
        <v>8.6</v>
      </c>
      <c r="DB143">
        <f t="shared" si="70"/>
        <v>107.52</v>
      </c>
      <c r="DC143">
        <f t="shared" si="71"/>
        <v>0</v>
      </c>
      <c r="DD143" t="s">
        <v>3</v>
      </c>
      <c r="DE143" t="s">
        <v>3</v>
      </c>
      <c r="DF143">
        <f t="shared" si="72"/>
        <v>3467.63</v>
      </c>
      <c r="DG143">
        <f t="shared" si="73"/>
        <v>0</v>
      </c>
      <c r="DH143">
        <f t="shared" si="74"/>
        <v>0</v>
      </c>
      <c r="DI143">
        <f t="shared" si="56"/>
        <v>0</v>
      </c>
      <c r="DJ143">
        <f t="shared" si="75"/>
        <v>3467.63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ROW(Source!A135)</f>
        <v>135</v>
      </c>
      <c r="B144">
        <v>53860087</v>
      </c>
      <c r="C144">
        <v>53860583</v>
      </c>
      <c r="D144">
        <v>29558791</v>
      </c>
      <c r="E144">
        <v>1</v>
      </c>
      <c r="F144">
        <v>1</v>
      </c>
      <c r="G144">
        <v>29506949</v>
      </c>
      <c r="H144">
        <v>3</v>
      </c>
      <c r="I144" t="s">
        <v>691</v>
      </c>
      <c r="J144" t="s">
        <v>692</v>
      </c>
      <c r="K144" t="s">
        <v>693</v>
      </c>
      <c r="L144">
        <v>1301</v>
      </c>
      <c r="N144">
        <v>1003</v>
      </c>
      <c r="O144" t="s">
        <v>125</v>
      </c>
      <c r="P144" t="s">
        <v>125</v>
      </c>
      <c r="Q144">
        <v>1</v>
      </c>
      <c r="W144">
        <v>0</v>
      </c>
      <c r="X144">
        <v>1854175844</v>
      </c>
      <c r="Y144">
        <f t="shared" si="66"/>
        <v>120</v>
      </c>
      <c r="AA144">
        <v>1.65</v>
      </c>
      <c r="AB144">
        <v>0</v>
      </c>
      <c r="AC144">
        <v>0</v>
      </c>
      <c r="AD144">
        <v>0</v>
      </c>
      <c r="AE144">
        <v>0.89</v>
      </c>
      <c r="AF144">
        <v>0</v>
      </c>
      <c r="AG144">
        <v>0</v>
      </c>
      <c r="AH144">
        <v>0</v>
      </c>
      <c r="AI144">
        <v>1.85</v>
      </c>
      <c r="AJ144">
        <v>1</v>
      </c>
      <c r="AK144">
        <v>1</v>
      </c>
      <c r="AL144">
        <v>1</v>
      </c>
      <c r="AM144">
        <v>2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120</v>
      </c>
      <c r="AU144" t="s">
        <v>3</v>
      </c>
      <c r="AV144">
        <v>0</v>
      </c>
      <c r="AW144">
        <v>2</v>
      </c>
      <c r="AX144">
        <v>53861256</v>
      </c>
      <c r="AY144">
        <v>1</v>
      </c>
      <c r="AZ144">
        <v>0</v>
      </c>
      <c r="BA144">
        <v>235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v>0</v>
      </c>
      <c r="CX144">
        <f>ROUND(Y144*Source!I135,9)</f>
        <v>450</v>
      </c>
      <c r="CY144">
        <f t="shared" si="67"/>
        <v>1.65</v>
      </c>
      <c r="CZ144">
        <f t="shared" si="68"/>
        <v>0.89</v>
      </c>
      <c r="DA144">
        <f t="shared" si="69"/>
        <v>1.85</v>
      </c>
      <c r="DB144">
        <f t="shared" si="70"/>
        <v>106.8</v>
      </c>
      <c r="DC144">
        <f t="shared" si="71"/>
        <v>0</v>
      </c>
      <c r="DD144" t="s">
        <v>3</v>
      </c>
      <c r="DE144" t="s">
        <v>3</v>
      </c>
      <c r="DF144">
        <f t="shared" si="72"/>
        <v>742.5</v>
      </c>
      <c r="DG144">
        <f t="shared" si="73"/>
        <v>0</v>
      </c>
      <c r="DH144">
        <f t="shared" si="74"/>
        <v>0</v>
      </c>
      <c r="DI144">
        <f t="shared" si="56"/>
        <v>0</v>
      </c>
      <c r="DJ144">
        <f t="shared" si="75"/>
        <v>742.5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ROW(Source!A135)</f>
        <v>135</v>
      </c>
      <c r="B145">
        <v>53860087</v>
      </c>
      <c r="C145">
        <v>53860583</v>
      </c>
      <c r="D145">
        <v>29558792</v>
      </c>
      <c r="E145">
        <v>1</v>
      </c>
      <c r="F145">
        <v>1</v>
      </c>
      <c r="G145">
        <v>29506949</v>
      </c>
      <c r="H145">
        <v>3</v>
      </c>
      <c r="I145" t="s">
        <v>694</v>
      </c>
      <c r="J145" t="s">
        <v>695</v>
      </c>
      <c r="K145" t="s">
        <v>696</v>
      </c>
      <c r="L145">
        <v>1301</v>
      </c>
      <c r="N145">
        <v>1003</v>
      </c>
      <c r="O145" t="s">
        <v>125</v>
      </c>
      <c r="P145" t="s">
        <v>125</v>
      </c>
      <c r="Q145">
        <v>1</v>
      </c>
      <c r="W145">
        <v>0</v>
      </c>
      <c r="X145">
        <v>1534032922</v>
      </c>
      <c r="Y145">
        <f t="shared" si="66"/>
        <v>82</v>
      </c>
      <c r="AA145">
        <v>19.329999999999998</v>
      </c>
      <c r="AB145">
        <v>0</v>
      </c>
      <c r="AC145">
        <v>0</v>
      </c>
      <c r="AD145">
        <v>0</v>
      </c>
      <c r="AE145">
        <v>1.62</v>
      </c>
      <c r="AF145">
        <v>0</v>
      </c>
      <c r="AG145">
        <v>0</v>
      </c>
      <c r="AH145">
        <v>0</v>
      </c>
      <c r="AI145">
        <v>11.93</v>
      </c>
      <c r="AJ145">
        <v>1</v>
      </c>
      <c r="AK145">
        <v>1</v>
      </c>
      <c r="AL145">
        <v>1</v>
      </c>
      <c r="AM145">
        <v>2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82</v>
      </c>
      <c r="AU145" t="s">
        <v>3</v>
      </c>
      <c r="AV145">
        <v>0</v>
      </c>
      <c r="AW145">
        <v>2</v>
      </c>
      <c r="AX145">
        <v>53861257</v>
      </c>
      <c r="AY145">
        <v>1</v>
      </c>
      <c r="AZ145">
        <v>0</v>
      </c>
      <c r="BA145">
        <v>236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ROUND(Y145*Source!I135,9)</f>
        <v>307.5</v>
      </c>
      <c r="CY145">
        <f t="shared" si="67"/>
        <v>19.329999999999998</v>
      </c>
      <c r="CZ145">
        <f t="shared" si="68"/>
        <v>1.62</v>
      </c>
      <c r="DA145">
        <f t="shared" si="69"/>
        <v>11.93</v>
      </c>
      <c r="DB145">
        <f t="shared" si="70"/>
        <v>132.84</v>
      </c>
      <c r="DC145">
        <f t="shared" si="71"/>
        <v>0</v>
      </c>
      <c r="DD145" t="s">
        <v>3</v>
      </c>
      <c r="DE145" t="s">
        <v>3</v>
      </c>
      <c r="DF145">
        <f t="shared" si="72"/>
        <v>5943.98</v>
      </c>
      <c r="DG145">
        <f t="shared" si="73"/>
        <v>0</v>
      </c>
      <c r="DH145">
        <f t="shared" si="74"/>
        <v>0</v>
      </c>
      <c r="DI145">
        <f t="shared" si="56"/>
        <v>0</v>
      </c>
      <c r="DJ145">
        <f t="shared" si="75"/>
        <v>5943.98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ROW(Source!A135)</f>
        <v>135</v>
      </c>
      <c r="B146">
        <v>53860087</v>
      </c>
      <c r="C146">
        <v>53860583</v>
      </c>
      <c r="D146">
        <v>29558793</v>
      </c>
      <c r="E146">
        <v>1</v>
      </c>
      <c r="F146">
        <v>1</v>
      </c>
      <c r="G146">
        <v>29506949</v>
      </c>
      <c r="H146">
        <v>3</v>
      </c>
      <c r="I146" t="s">
        <v>123</v>
      </c>
      <c r="J146" t="s">
        <v>126</v>
      </c>
      <c r="K146" t="s">
        <v>124</v>
      </c>
      <c r="L146">
        <v>1301</v>
      </c>
      <c r="N146">
        <v>1003</v>
      </c>
      <c r="O146" t="s">
        <v>125</v>
      </c>
      <c r="P146" t="s">
        <v>125</v>
      </c>
      <c r="Q146">
        <v>1</v>
      </c>
      <c r="W146">
        <v>0</v>
      </c>
      <c r="X146">
        <v>-1897368516</v>
      </c>
      <c r="Y146">
        <f t="shared" si="66"/>
        <v>116</v>
      </c>
      <c r="AA146">
        <v>6.56</v>
      </c>
      <c r="AB146">
        <v>0</v>
      </c>
      <c r="AC146">
        <v>0</v>
      </c>
      <c r="AD146">
        <v>0</v>
      </c>
      <c r="AE146">
        <v>0.71</v>
      </c>
      <c r="AF146">
        <v>0</v>
      </c>
      <c r="AG146">
        <v>0</v>
      </c>
      <c r="AH146">
        <v>0</v>
      </c>
      <c r="AI146">
        <v>9.24</v>
      </c>
      <c r="AJ146">
        <v>1</v>
      </c>
      <c r="AK146">
        <v>1</v>
      </c>
      <c r="AL146">
        <v>1</v>
      </c>
      <c r="AM146">
        <v>0</v>
      </c>
      <c r="AN146">
        <v>0</v>
      </c>
      <c r="AO146">
        <v>0</v>
      </c>
      <c r="AP146">
        <v>1</v>
      </c>
      <c r="AQ146">
        <v>0</v>
      </c>
      <c r="AR146">
        <v>0</v>
      </c>
      <c r="AS146" t="s">
        <v>3</v>
      </c>
      <c r="AT146">
        <v>116</v>
      </c>
      <c r="AU146" t="s">
        <v>3</v>
      </c>
      <c r="AV146">
        <v>0</v>
      </c>
      <c r="AW146">
        <v>1</v>
      </c>
      <c r="AX146">
        <v>-1</v>
      </c>
      <c r="AY146">
        <v>0</v>
      </c>
      <c r="AZ146">
        <v>0</v>
      </c>
      <c r="BA146" t="s">
        <v>3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v>0</v>
      </c>
      <c r="CX146">
        <f>ROUND(Y146*Source!I135,9)</f>
        <v>435</v>
      </c>
      <c r="CY146">
        <f t="shared" si="67"/>
        <v>6.56</v>
      </c>
      <c r="CZ146">
        <f t="shared" si="68"/>
        <v>0.71</v>
      </c>
      <c r="DA146">
        <f t="shared" si="69"/>
        <v>9.24</v>
      </c>
      <c r="DB146">
        <f t="shared" si="70"/>
        <v>82.36</v>
      </c>
      <c r="DC146">
        <f t="shared" si="71"/>
        <v>0</v>
      </c>
      <c r="DD146" t="s">
        <v>3</v>
      </c>
      <c r="DE146" t="s">
        <v>3</v>
      </c>
      <c r="DF146">
        <f t="shared" si="72"/>
        <v>2853.6</v>
      </c>
      <c r="DG146">
        <f t="shared" si="73"/>
        <v>0</v>
      </c>
      <c r="DH146">
        <f t="shared" si="74"/>
        <v>0</v>
      </c>
      <c r="DI146">
        <f t="shared" si="56"/>
        <v>0</v>
      </c>
      <c r="DJ146">
        <f t="shared" si="75"/>
        <v>2853.6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ROW(Source!A135)</f>
        <v>135</v>
      </c>
      <c r="B147">
        <v>53860087</v>
      </c>
      <c r="C147">
        <v>53860583</v>
      </c>
      <c r="D147">
        <v>29558797</v>
      </c>
      <c r="E147">
        <v>1</v>
      </c>
      <c r="F147">
        <v>1</v>
      </c>
      <c r="G147">
        <v>29506949</v>
      </c>
      <c r="H147">
        <v>3</v>
      </c>
      <c r="I147" t="s">
        <v>700</v>
      </c>
      <c r="J147" t="s">
        <v>701</v>
      </c>
      <c r="K147" t="s">
        <v>702</v>
      </c>
      <c r="L147">
        <v>1355</v>
      </c>
      <c r="N147">
        <v>1010</v>
      </c>
      <c r="O147" t="s">
        <v>129</v>
      </c>
      <c r="P147" t="s">
        <v>129</v>
      </c>
      <c r="Q147">
        <v>100</v>
      </c>
      <c r="W147">
        <v>0</v>
      </c>
      <c r="X147">
        <v>-1862673786</v>
      </c>
      <c r="Y147">
        <f t="shared" si="66"/>
        <v>7.35</v>
      </c>
      <c r="AA147">
        <v>21.48</v>
      </c>
      <c r="AB147">
        <v>0</v>
      </c>
      <c r="AC147">
        <v>0</v>
      </c>
      <c r="AD147">
        <v>0</v>
      </c>
      <c r="AE147">
        <v>4.2699999999999996</v>
      </c>
      <c r="AF147">
        <v>0</v>
      </c>
      <c r="AG147">
        <v>0</v>
      </c>
      <c r="AH147">
        <v>0</v>
      </c>
      <c r="AI147">
        <v>5.03</v>
      </c>
      <c r="AJ147">
        <v>1</v>
      </c>
      <c r="AK147">
        <v>1</v>
      </c>
      <c r="AL147">
        <v>1</v>
      </c>
      <c r="AM147">
        <v>2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7.35</v>
      </c>
      <c r="AU147" t="s">
        <v>3</v>
      </c>
      <c r="AV147">
        <v>0</v>
      </c>
      <c r="AW147">
        <v>2</v>
      </c>
      <c r="AX147">
        <v>53861258</v>
      </c>
      <c r="AY147">
        <v>1</v>
      </c>
      <c r="AZ147">
        <v>0</v>
      </c>
      <c r="BA147">
        <v>237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ROUND(Y147*Source!I135,9)</f>
        <v>27.5625</v>
      </c>
      <c r="CY147">
        <f t="shared" si="67"/>
        <v>21.48</v>
      </c>
      <c r="CZ147">
        <f t="shared" si="68"/>
        <v>4.2699999999999996</v>
      </c>
      <c r="DA147">
        <f t="shared" si="69"/>
        <v>5.03</v>
      </c>
      <c r="DB147">
        <f t="shared" si="70"/>
        <v>31.38</v>
      </c>
      <c r="DC147">
        <f t="shared" si="71"/>
        <v>0</v>
      </c>
      <c r="DD147" t="s">
        <v>3</v>
      </c>
      <c r="DE147" t="s">
        <v>3</v>
      </c>
      <c r="DF147">
        <f t="shared" si="72"/>
        <v>592.04</v>
      </c>
      <c r="DG147">
        <f t="shared" si="73"/>
        <v>0</v>
      </c>
      <c r="DH147">
        <f t="shared" si="74"/>
        <v>0</v>
      </c>
      <c r="DI147">
        <f t="shared" si="56"/>
        <v>0</v>
      </c>
      <c r="DJ147">
        <f t="shared" si="75"/>
        <v>592.04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ROW(Source!A135)</f>
        <v>135</v>
      </c>
      <c r="B148">
        <v>53860087</v>
      </c>
      <c r="C148">
        <v>53860583</v>
      </c>
      <c r="D148">
        <v>29558798</v>
      </c>
      <c r="E148">
        <v>1</v>
      </c>
      <c r="F148">
        <v>1</v>
      </c>
      <c r="G148">
        <v>29506949</v>
      </c>
      <c r="H148">
        <v>3</v>
      </c>
      <c r="I148" t="s">
        <v>733</v>
      </c>
      <c r="J148" t="s">
        <v>734</v>
      </c>
      <c r="K148" t="s">
        <v>735</v>
      </c>
      <c r="L148">
        <v>1355</v>
      </c>
      <c r="N148">
        <v>1010</v>
      </c>
      <c r="O148" t="s">
        <v>129</v>
      </c>
      <c r="P148" t="s">
        <v>129</v>
      </c>
      <c r="Q148">
        <v>100</v>
      </c>
      <c r="W148">
        <v>0</v>
      </c>
      <c r="X148">
        <v>-2071610670</v>
      </c>
      <c r="Y148">
        <f t="shared" si="66"/>
        <v>18.55</v>
      </c>
      <c r="AA148">
        <v>24.04</v>
      </c>
      <c r="AB148">
        <v>0</v>
      </c>
      <c r="AC148">
        <v>0</v>
      </c>
      <c r="AD148">
        <v>0</v>
      </c>
      <c r="AE148">
        <v>5.59</v>
      </c>
      <c r="AF148">
        <v>0</v>
      </c>
      <c r="AG148">
        <v>0</v>
      </c>
      <c r="AH148">
        <v>0</v>
      </c>
      <c r="AI148">
        <v>4.3</v>
      </c>
      <c r="AJ148">
        <v>1</v>
      </c>
      <c r="AK148">
        <v>1</v>
      </c>
      <c r="AL148">
        <v>1</v>
      </c>
      <c r="AM148">
        <v>2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18.55</v>
      </c>
      <c r="AU148" t="s">
        <v>3</v>
      </c>
      <c r="AV148">
        <v>0</v>
      </c>
      <c r="AW148">
        <v>2</v>
      </c>
      <c r="AX148">
        <v>53861259</v>
      </c>
      <c r="AY148">
        <v>1</v>
      </c>
      <c r="AZ148">
        <v>0</v>
      </c>
      <c r="BA148">
        <v>238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V148">
        <v>0</v>
      </c>
      <c r="CW148">
        <v>0</v>
      </c>
      <c r="CX148">
        <f>ROUND(Y148*Source!I135,9)</f>
        <v>69.5625</v>
      </c>
      <c r="CY148">
        <f t="shared" si="67"/>
        <v>24.04</v>
      </c>
      <c r="CZ148">
        <f t="shared" si="68"/>
        <v>5.59</v>
      </c>
      <c r="DA148">
        <f t="shared" si="69"/>
        <v>4.3</v>
      </c>
      <c r="DB148">
        <f t="shared" si="70"/>
        <v>103.69</v>
      </c>
      <c r="DC148">
        <f t="shared" si="71"/>
        <v>0</v>
      </c>
      <c r="DD148" t="s">
        <v>3</v>
      </c>
      <c r="DE148" t="s">
        <v>3</v>
      </c>
      <c r="DF148">
        <f t="shared" si="72"/>
        <v>1672.28</v>
      </c>
      <c r="DG148">
        <f t="shared" si="73"/>
        <v>0</v>
      </c>
      <c r="DH148">
        <f t="shared" si="74"/>
        <v>0</v>
      </c>
      <c r="DI148">
        <f t="shared" si="56"/>
        <v>0</v>
      </c>
      <c r="DJ148">
        <f t="shared" si="75"/>
        <v>1672.28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ROW(Source!A135)</f>
        <v>135</v>
      </c>
      <c r="B149">
        <v>53860087</v>
      </c>
      <c r="C149">
        <v>53860583</v>
      </c>
      <c r="D149">
        <v>29558800</v>
      </c>
      <c r="E149">
        <v>1</v>
      </c>
      <c r="F149">
        <v>1</v>
      </c>
      <c r="G149">
        <v>29506949</v>
      </c>
      <c r="H149">
        <v>3</v>
      </c>
      <c r="I149" t="s">
        <v>703</v>
      </c>
      <c r="J149" t="s">
        <v>704</v>
      </c>
      <c r="K149" t="s">
        <v>705</v>
      </c>
      <c r="L149">
        <v>1355</v>
      </c>
      <c r="N149">
        <v>1010</v>
      </c>
      <c r="O149" t="s">
        <v>129</v>
      </c>
      <c r="P149" t="s">
        <v>129</v>
      </c>
      <c r="Q149">
        <v>100</v>
      </c>
      <c r="W149">
        <v>0</v>
      </c>
      <c r="X149">
        <v>2010027150</v>
      </c>
      <c r="Y149">
        <f t="shared" si="66"/>
        <v>1.53</v>
      </c>
      <c r="AA149">
        <v>65.72</v>
      </c>
      <c r="AB149">
        <v>0</v>
      </c>
      <c r="AC149">
        <v>0</v>
      </c>
      <c r="AD149">
        <v>0</v>
      </c>
      <c r="AE149">
        <v>43.81</v>
      </c>
      <c r="AF149">
        <v>0</v>
      </c>
      <c r="AG149">
        <v>0</v>
      </c>
      <c r="AH149">
        <v>0</v>
      </c>
      <c r="AI149">
        <v>1.5</v>
      </c>
      <c r="AJ149">
        <v>1</v>
      </c>
      <c r="AK149">
        <v>1</v>
      </c>
      <c r="AL149">
        <v>1</v>
      </c>
      <c r="AM149">
        <v>2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1.53</v>
      </c>
      <c r="AU149" t="s">
        <v>3</v>
      </c>
      <c r="AV149">
        <v>0</v>
      </c>
      <c r="AW149">
        <v>2</v>
      </c>
      <c r="AX149">
        <v>53861260</v>
      </c>
      <c r="AY149">
        <v>1</v>
      </c>
      <c r="AZ149">
        <v>0</v>
      </c>
      <c r="BA149">
        <v>239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ROUND(Y149*Source!I135,9)</f>
        <v>5.7374999999999998</v>
      </c>
      <c r="CY149">
        <f t="shared" si="67"/>
        <v>65.72</v>
      </c>
      <c r="CZ149">
        <f t="shared" si="68"/>
        <v>43.81</v>
      </c>
      <c r="DA149">
        <f t="shared" si="69"/>
        <v>1.5</v>
      </c>
      <c r="DB149">
        <f t="shared" si="70"/>
        <v>67.03</v>
      </c>
      <c r="DC149">
        <f t="shared" si="71"/>
        <v>0</v>
      </c>
      <c r="DD149" t="s">
        <v>3</v>
      </c>
      <c r="DE149" t="s">
        <v>3</v>
      </c>
      <c r="DF149">
        <f t="shared" si="72"/>
        <v>377.07</v>
      </c>
      <c r="DG149">
        <f t="shared" si="73"/>
        <v>0</v>
      </c>
      <c r="DH149">
        <f t="shared" si="74"/>
        <v>0</v>
      </c>
      <c r="DI149">
        <f t="shared" si="56"/>
        <v>0</v>
      </c>
      <c r="DJ149">
        <f t="shared" si="75"/>
        <v>377.07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ROW(Source!A135)</f>
        <v>135</v>
      </c>
      <c r="B150">
        <v>53860087</v>
      </c>
      <c r="C150">
        <v>53860583</v>
      </c>
      <c r="D150">
        <v>29556002</v>
      </c>
      <c r="E150">
        <v>1</v>
      </c>
      <c r="F150">
        <v>1</v>
      </c>
      <c r="G150">
        <v>29506949</v>
      </c>
      <c r="H150">
        <v>3</v>
      </c>
      <c r="I150" t="s">
        <v>332</v>
      </c>
      <c r="J150" t="s">
        <v>334</v>
      </c>
      <c r="K150" t="s">
        <v>342</v>
      </c>
      <c r="L150">
        <v>1327</v>
      </c>
      <c r="N150">
        <v>1005</v>
      </c>
      <c r="O150" t="s">
        <v>100</v>
      </c>
      <c r="P150" t="s">
        <v>100</v>
      </c>
      <c r="Q150">
        <v>1</v>
      </c>
      <c r="W150">
        <v>0</v>
      </c>
      <c r="X150">
        <v>398521588</v>
      </c>
      <c r="Y150">
        <f t="shared" si="66"/>
        <v>212</v>
      </c>
      <c r="AA150">
        <v>159.87</v>
      </c>
      <c r="AB150">
        <v>0</v>
      </c>
      <c r="AC150">
        <v>0</v>
      </c>
      <c r="AD150">
        <v>0</v>
      </c>
      <c r="AE150">
        <v>34.68</v>
      </c>
      <c r="AF150">
        <v>0</v>
      </c>
      <c r="AG150">
        <v>0</v>
      </c>
      <c r="AH150">
        <v>0</v>
      </c>
      <c r="AI150">
        <v>4.6100000000000003</v>
      </c>
      <c r="AJ150">
        <v>1</v>
      </c>
      <c r="AK150">
        <v>1</v>
      </c>
      <c r="AL150">
        <v>1</v>
      </c>
      <c r="AM150">
        <v>0</v>
      </c>
      <c r="AN150">
        <v>0</v>
      </c>
      <c r="AO150">
        <v>0</v>
      </c>
      <c r="AP150">
        <v>1</v>
      </c>
      <c r="AQ150">
        <v>0</v>
      </c>
      <c r="AR150">
        <v>0</v>
      </c>
      <c r="AS150" t="s">
        <v>3</v>
      </c>
      <c r="AT150">
        <v>212</v>
      </c>
      <c r="AU150" t="s">
        <v>3</v>
      </c>
      <c r="AV150">
        <v>0</v>
      </c>
      <c r="AW150">
        <v>1</v>
      </c>
      <c r="AX150">
        <v>-1</v>
      </c>
      <c r="AY150">
        <v>0</v>
      </c>
      <c r="AZ150">
        <v>0</v>
      </c>
      <c r="BA150" t="s">
        <v>3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V150">
        <v>0</v>
      </c>
      <c r="CW150">
        <v>0</v>
      </c>
      <c r="CX150">
        <f>ROUND(Y150*Source!I135,9)</f>
        <v>795</v>
      </c>
      <c r="CY150">
        <f t="shared" si="67"/>
        <v>159.87</v>
      </c>
      <c r="CZ150">
        <f t="shared" si="68"/>
        <v>34.68</v>
      </c>
      <c r="DA150">
        <f t="shared" si="69"/>
        <v>4.6100000000000003</v>
      </c>
      <c r="DB150">
        <f t="shared" si="70"/>
        <v>7352.16</v>
      </c>
      <c r="DC150">
        <f t="shared" si="71"/>
        <v>0</v>
      </c>
      <c r="DD150" t="s">
        <v>3</v>
      </c>
      <c r="DE150" t="s">
        <v>3</v>
      </c>
      <c r="DF150">
        <f t="shared" si="72"/>
        <v>127096.65</v>
      </c>
      <c r="DG150">
        <f t="shared" si="73"/>
        <v>0</v>
      </c>
      <c r="DH150">
        <f t="shared" si="74"/>
        <v>0</v>
      </c>
      <c r="DI150">
        <f t="shared" si="56"/>
        <v>0</v>
      </c>
      <c r="DJ150">
        <f t="shared" si="75"/>
        <v>127096.65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ROW(Source!A135)</f>
        <v>135</v>
      </c>
      <c r="B151">
        <v>53860087</v>
      </c>
      <c r="C151">
        <v>53860583</v>
      </c>
      <c r="D151">
        <v>29574265</v>
      </c>
      <c r="E151">
        <v>1</v>
      </c>
      <c r="F151">
        <v>1</v>
      </c>
      <c r="G151">
        <v>29506949</v>
      </c>
      <c r="H151">
        <v>3</v>
      </c>
      <c r="I151" t="s">
        <v>706</v>
      </c>
      <c r="J151" t="s">
        <v>707</v>
      </c>
      <c r="K151" t="s">
        <v>708</v>
      </c>
      <c r="L151">
        <v>1346</v>
      </c>
      <c r="N151">
        <v>1009</v>
      </c>
      <c r="O151" t="s">
        <v>58</v>
      </c>
      <c r="P151" t="s">
        <v>58</v>
      </c>
      <c r="Q151">
        <v>1</v>
      </c>
      <c r="W151">
        <v>0</v>
      </c>
      <c r="X151">
        <v>-1485587610</v>
      </c>
      <c r="Y151">
        <f t="shared" si="66"/>
        <v>9</v>
      </c>
      <c r="AA151">
        <v>107.43</v>
      </c>
      <c r="AB151">
        <v>0</v>
      </c>
      <c r="AC151">
        <v>0</v>
      </c>
      <c r="AD151">
        <v>0</v>
      </c>
      <c r="AE151">
        <v>14.88</v>
      </c>
      <c r="AF151">
        <v>0</v>
      </c>
      <c r="AG151">
        <v>0</v>
      </c>
      <c r="AH151">
        <v>0</v>
      </c>
      <c r="AI151">
        <v>7.22</v>
      </c>
      <c r="AJ151">
        <v>1</v>
      </c>
      <c r="AK151">
        <v>1</v>
      </c>
      <c r="AL151">
        <v>1</v>
      </c>
      <c r="AM151">
        <v>2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9</v>
      </c>
      <c r="AU151" t="s">
        <v>3</v>
      </c>
      <c r="AV151">
        <v>0</v>
      </c>
      <c r="AW151">
        <v>2</v>
      </c>
      <c r="AX151">
        <v>53861261</v>
      </c>
      <c r="AY151">
        <v>1</v>
      </c>
      <c r="AZ151">
        <v>0</v>
      </c>
      <c r="BA151">
        <v>240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V151">
        <v>0</v>
      </c>
      <c r="CW151">
        <v>0</v>
      </c>
      <c r="CX151">
        <f>ROUND(Y151*Source!I135,9)</f>
        <v>33.75</v>
      </c>
      <c r="CY151">
        <f t="shared" si="67"/>
        <v>107.43</v>
      </c>
      <c r="CZ151">
        <f t="shared" si="68"/>
        <v>14.88</v>
      </c>
      <c r="DA151">
        <f t="shared" si="69"/>
        <v>7.22</v>
      </c>
      <c r="DB151">
        <f t="shared" si="70"/>
        <v>133.91999999999999</v>
      </c>
      <c r="DC151">
        <f t="shared" si="71"/>
        <v>0</v>
      </c>
      <c r="DD151" t="s">
        <v>3</v>
      </c>
      <c r="DE151" t="s">
        <v>3</v>
      </c>
      <c r="DF151">
        <f t="shared" si="72"/>
        <v>3625.76</v>
      </c>
      <c r="DG151">
        <f t="shared" si="73"/>
        <v>0</v>
      </c>
      <c r="DH151">
        <f t="shared" si="74"/>
        <v>0</v>
      </c>
      <c r="DI151">
        <f t="shared" si="56"/>
        <v>0</v>
      </c>
      <c r="DJ151">
        <f t="shared" si="75"/>
        <v>3625.76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ROW(Source!A135)</f>
        <v>135</v>
      </c>
      <c r="B152">
        <v>53860087</v>
      </c>
      <c r="C152">
        <v>53860583</v>
      </c>
      <c r="D152">
        <v>29574266</v>
      </c>
      <c r="E152">
        <v>1</v>
      </c>
      <c r="F152">
        <v>1</v>
      </c>
      <c r="G152">
        <v>29506949</v>
      </c>
      <c r="H152">
        <v>3</v>
      </c>
      <c r="I152" t="s">
        <v>736</v>
      </c>
      <c r="J152" t="s">
        <v>737</v>
      </c>
      <c r="K152" t="s">
        <v>738</v>
      </c>
      <c r="L152">
        <v>1346</v>
      </c>
      <c r="N152">
        <v>1009</v>
      </c>
      <c r="O152" t="s">
        <v>58</v>
      </c>
      <c r="P152" t="s">
        <v>58</v>
      </c>
      <c r="Q152">
        <v>1</v>
      </c>
      <c r="W152">
        <v>0</v>
      </c>
      <c r="X152">
        <v>1967037341</v>
      </c>
      <c r="Y152">
        <f t="shared" si="66"/>
        <v>119</v>
      </c>
      <c r="AA152">
        <v>15.61</v>
      </c>
      <c r="AB152">
        <v>0</v>
      </c>
      <c r="AC152">
        <v>0</v>
      </c>
      <c r="AD152">
        <v>0</v>
      </c>
      <c r="AE152">
        <v>4.55</v>
      </c>
      <c r="AF152">
        <v>0</v>
      </c>
      <c r="AG152">
        <v>0</v>
      </c>
      <c r="AH152">
        <v>0</v>
      </c>
      <c r="AI152">
        <v>3.43</v>
      </c>
      <c r="AJ152">
        <v>1</v>
      </c>
      <c r="AK152">
        <v>1</v>
      </c>
      <c r="AL152">
        <v>1</v>
      </c>
      <c r="AM152">
        <v>2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119</v>
      </c>
      <c r="AU152" t="s">
        <v>3</v>
      </c>
      <c r="AV152">
        <v>0</v>
      </c>
      <c r="AW152">
        <v>2</v>
      </c>
      <c r="AX152">
        <v>53861262</v>
      </c>
      <c r="AY152">
        <v>1</v>
      </c>
      <c r="AZ152">
        <v>0</v>
      </c>
      <c r="BA152">
        <v>241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V152">
        <v>0</v>
      </c>
      <c r="CW152">
        <v>0</v>
      </c>
      <c r="CX152">
        <f>ROUND(Y152*Source!I135,9)</f>
        <v>446.25</v>
      </c>
      <c r="CY152">
        <f t="shared" si="67"/>
        <v>15.61</v>
      </c>
      <c r="CZ152">
        <f t="shared" si="68"/>
        <v>4.55</v>
      </c>
      <c r="DA152">
        <f t="shared" si="69"/>
        <v>3.43</v>
      </c>
      <c r="DB152">
        <f t="shared" si="70"/>
        <v>541.45000000000005</v>
      </c>
      <c r="DC152">
        <f t="shared" si="71"/>
        <v>0</v>
      </c>
      <c r="DD152" t="s">
        <v>3</v>
      </c>
      <c r="DE152" t="s">
        <v>3</v>
      </c>
      <c r="DF152">
        <f t="shared" si="72"/>
        <v>6965.96</v>
      </c>
      <c r="DG152">
        <f t="shared" si="73"/>
        <v>0</v>
      </c>
      <c r="DH152">
        <f t="shared" si="74"/>
        <v>0</v>
      </c>
      <c r="DI152">
        <f t="shared" si="56"/>
        <v>0</v>
      </c>
      <c r="DJ152">
        <f t="shared" si="75"/>
        <v>6965.96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ROW(Source!A135)</f>
        <v>135</v>
      </c>
      <c r="B153">
        <v>53860087</v>
      </c>
      <c r="C153">
        <v>53860583</v>
      </c>
      <c r="D153">
        <v>29574151</v>
      </c>
      <c r="E153">
        <v>1</v>
      </c>
      <c r="F153">
        <v>1</v>
      </c>
      <c r="G153">
        <v>29506949</v>
      </c>
      <c r="H153">
        <v>3</v>
      </c>
      <c r="I153" t="s">
        <v>709</v>
      </c>
      <c r="J153" t="s">
        <v>710</v>
      </c>
      <c r="K153" t="s">
        <v>977</v>
      </c>
      <c r="L153">
        <v>1346</v>
      </c>
      <c r="N153">
        <v>1009</v>
      </c>
      <c r="O153" t="s">
        <v>58</v>
      </c>
      <c r="P153" t="s">
        <v>58</v>
      </c>
      <c r="Q153">
        <v>1</v>
      </c>
      <c r="W153">
        <v>0</v>
      </c>
      <c r="X153">
        <v>-2085887270</v>
      </c>
      <c r="Y153">
        <f t="shared" si="66"/>
        <v>85</v>
      </c>
      <c r="AA153">
        <v>23.2</v>
      </c>
      <c r="AB153">
        <v>0</v>
      </c>
      <c r="AC153">
        <v>0</v>
      </c>
      <c r="AD153">
        <v>0</v>
      </c>
      <c r="AE153">
        <v>5.19</v>
      </c>
      <c r="AF153">
        <v>0</v>
      </c>
      <c r="AG153">
        <v>0</v>
      </c>
      <c r="AH153">
        <v>0</v>
      </c>
      <c r="AI153">
        <v>4.47</v>
      </c>
      <c r="AJ153">
        <v>1</v>
      </c>
      <c r="AK153">
        <v>1</v>
      </c>
      <c r="AL153">
        <v>1</v>
      </c>
      <c r="AM153">
        <v>2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85</v>
      </c>
      <c r="AU153" t="s">
        <v>3</v>
      </c>
      <c r="AV153">
        <v>0</v>
      </c>
      <c r="AW153">
        <v>2</v>
      </c>
      <c r="AX153">
        <v>53861263</v>
      </c>
      <c r="AY153">
        <v>1</v>
      </c>
      <c r="AZ153">
        <v>0</v>
      </c>
      <c r="BA153">
        <v>242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V153">
        <v>0</v>
      </c>
      <c r="CW153">
        <v>0</v>
      </c>
      <c r="CX153">
        <f>ROUND(Y153*Source!I135,9)</f>
        <v>318.75</v>
      </c>
      <c r="CY153">
        <f t="shared" si="67"/>
        <v>23.2</v>
      </c>
      <c r="CZ153">
        <f t="shared" si="68"/>
        <v>5.19</v>
      </c>
      <c r="DA153">
        <f t="shared" si="69"/>
        <v>4.47</v>
      </c>
      <c r="DB153">
        <f t="shared" si="70"/>
        <v>441.15</v>
      </c>
      <c r="DC153">
        <f t="shared" si="71"/>
        <v>0</v>
      </c>
      <c r="DD153" t="s">
        <v>3</v>
      </c>
      <c r="DE153" t="s">
        <v>3</v>
      </c>
      <c r="DF153">
        <f t="shared" si="72"/>
        <v>7395</v>
      </c>
      <c r="DG153">
        <f t="shared" si="73"/>
        <v>0</v>
      </c>
      <c r="DH153">
        <f t="shared" si="74"/>
        <v>0</v>
      </c>
      <c r="DI153">
        <f t="shared" si="56"/>
        <v>0</v>
      </c>
      <c r="DJ153">
        <f t="shared" si="75"/>
        <v>7395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ROW(Source!A135)</f>
        <v>135</v>
      </c>
      <c r="B154">
        <v>53860087</v>
      </c>
      <c r="C154">
        <v>53860583</v>
      </c>
      <c r="D154">
        <v>29577894</v>
      </c>
      <c r="E154">
        <v>1</v>
      </c>
      <c r="F154">
        <v>1</v>
      </c>
      <c r="G154">
        <v>29506949</v>
      </c>
      <c r="H154">
        <v>3</v>
      </c>
      <c r="I154" t="s">
        <v>739</v>
      </c>
      <c r="J154" t="s">
        <v>740</v>
      </c>
      <c r="K154" t="s">
        <v>741</v>
      </c>
      <c r="L154">
        <v>1348</v>
      </c>
      <c r="N154">
        <v>1009</v>
      </c>
      <c r="O154" t="s">
        <v>75</v>
      </c>
      <c r="P154" t="s">
        <v>75</v>
      </c>
      <c r="Q154">
        <v>1000</v>
      </c>
      <c r="W154">
        <v>0</v>
      </c>
      <c r="X154">
        <v>-14446060</v>
      </c>
      <c r="Y154">
        <f t="shared" si="66"/>
        <v>1.1039999999999999E-2</v>
      </c>
      <c r="AA154">
        <v>108372.61</v>
      </c>
      <c r="AB154">
        <v>0</v>
      </c>
      <c r="AC154">
        <v>0</v>
      </c>
      <c r="AD154">
        <v>0</v>
      </c>
      <c r="AE154">
        <v>60883.49</v>
      </c>
      <c r="AF154">
        <v>0</v>
      </c>
      <c r="AG154">
        <v>0</v>
      </c>
      <c r="AH154">
        <v>0</v>
      </c>
      <c r="AI154">
        <v>1.78</v>
      </c>
      <c r="AJ154">
        <v>1</v>
      </c>
      <c r="AK154">
        <v>1</v>
      </c>
      <c r="AL154">
        <v>1</v>
      </c>
      <c r="AM154">
        <v>2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1.1039999999999999E-2</v>
      </c>
      <c r="AU154" t="s">
        <v>3</v>
      </c>
      <c r="AV154">
        <v>0</v>
      </c>
      <c r="AW154">
        <v>2</v>
      </c>
      <c r="AX154">
        <v>53861264</v>
      </c>
      <c r="AY154">
        <v>1</v>
      </c>
      <c r="AZ154">
        <v>0</v>
      </c>
      <c r="BA154">
        <v>243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ROUND(Y154*Source!I135,9)</f>
        <v>4.1399999999999999E-2</v>
      </c>
      <c r="CY154">
        <f t="shared" si="67"/>
        <v>108372.61</v>
      </c>
      <c r="CZ154">
        <f t="shared" si="68"/>
        <v>60883.49</v>
      </c>
      <c r="DA154">
        <f t="shared" si="69"/>
        <v>1.78</v>
      </c>
      <c r="DB154">
        <f t="shared" si="70"/>
        <v>672.15</v>
      </c>
      <c r="DC154">
        <f t="shared" si="71"/>
        <v>0</v>
      </c>
      <c r="DD154" t="s">
        <v>3</v>
      </c>
      <c r="DE154" t="s">
        <v>3</v>
      </c>
      <c r="DF154">
        <f t="shared" si="72"/>
        <v>4486.63</v>
      </c>
      <c r="DG154">
        <f t="shared" si="73"/>
        <v>0</v>
      </c>
      <c r="DH154">
        <f t="shared" si="74"/>
        <v>0</v>
      </c>
      <c r="DI154">
        <f t="shared" si="56"/>
        <v>0</v>
      </c>
      <c r="DJ154">
        <f t="shared" si="75"/>
        <v>4486.63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ROW(Source!A135)</f>
        <v>135</v>
      </c>
      <c r="B155">
        <v>53860087</v>
      </c>
      <c r="C155">
        <v>53860583</v>
      </c>
      <c r="D155">
        <v>29577897</v>
      </c>
      <c r="E155">
        <v>1</v>
      </c>
      <c r="F155">
        <v>1</v>
      </c>
      <c r="G155">
        <v>29506949</v>
      </c>
      <c r="H155">
        <v>3</v>
      </c>
      <c r="I155" t="s">
        <v>328</v>
      </c>
      <c r="J155" t="s">
        <v>330</v>
      </c>
      <c r="K155" t="s">
        <v>340</v>
      </c>
      <c r="L155">
        <v>1301</v>
      </c>
      <c r="N155">
        <v>1003</v>
      </c>
      <c r="O155" t="s">
        <v>125</v>
      </c>
      <c r="P155" t="s">
        <v>125</v>
      </c>
      <c r="Q155">
        <v>1</v>
      </c>
      <c r="W155">
        <v>0</v>
      </c>
      <c r="X155">
        <v>1145173020</v>
      </c>
      <c r="Y155">
        <f t="shared" si="66"/>
        <v>88</v>
      </c>
      <c r="AA155">
        <v>91.25</v>
      </c>
      <c r="AB155">
        <v>0</v>
      </c>
      <c r="AC155">
        <v>0</v>
      </c>
      <c r="AD155">
        <v>0</v>
      </c>
      <c r="AE155">
        <v>23.58</v>
      </c>
      <c r="AF155">
        <v>0</v>
      </c>
      <c r="AG155">
        <v>0</v>
      </c>
      <c r="AH155">
        <v>0</v>
      </c>
      <c r="AI155">
        <v>3.87</v>
      </c>
      <c r="AJ155">
        <v>1</v>
      </c>
      <c r="AK155">
        <v>1</v>
      </c>
      <c r="AL155">
        <v>1</v>
      </c>
      <c r="AM155">
        <v>0</v>
      </c>
      <c r="AN155">
        <v>0</v>
      </c>
      <c r="AO155">
        <v>0</v>
      </c>
      <c r="AP155">
        <v>1</v>
      </c>
      <c r="AQ155">
        <v>0</v>
      </c>
      <c r="AR155">
        <v>0</v>
      </c>
      <c r="AS155" t="s">
        <v>3</v>
      </c>
      <c r="AT155">
        <v>88</v>
      </c>
      <c r="AU155" t="s">
        <v>3</v>
      </c>
      <c r="AV155">
        <v>0</v>
      </c>
      <c r="AW155">
        <v>1</v>
      </c>
      <c r="AX155">
        <v>-1</v>
      </c>
      <c r="AY155">
        <v>0</v>
      </c>
      <c r="AZ155">
        <v>0</v>
      </c>
      <c r="BA155" t="s">
        <v>3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V155">
        <v>0</v>
      </c>
      <c r="CW155">
        <v>0</v>
      </c>
      <c r="CX155">
        <f>ROUND(Y155*Source!I135,9)</f>
        <v>330</v>
      </c>
      <c r="CY155">
        <f t="shared" si="67"/>
        <v>91.25</v>
      </c>
      <c r="CZ155">
        <f t="shared" si="68"/>
        <v>23.58</v>
      </c>
      <c r="DA155">
        <f t="shared" si="69"/>
        <v>3.87</v>
      </c>
      <c r="DB155">
        <f t="shared" si="70"/>
        <v>2075.04</v>
      </c>
      <c r="DC155">
        <f t="shared" si="71"/>
        <v>0</v>
      </c>
      <c r="DD155" t="s">
        <v>3</v>
      </c>
      <c r="DE155" t="s">
        <v>3</v>
      </c>
      <c r="DF155">
        <f t="shared" si="72"/>
        <v>30112.5</v>
      </c>
      <c r="DG155">
        <f t="shared" si="73"/>
        <v>0</v>
      </c>
      <c r="DH155">
        <f t="shared" si="74"/>
        <v>0</v>
      </c>
      <c r="DI155">
        <f t="shared" si="56"/>
        <v>0</v>
      </c>
      <c r="DJ155">
        <f t="shared" si="75"/>
        <v>30112.5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ROW(Source!A135)</f>
        <v>135</v>
      </c>
      <c r="B156">
        <v>53860087</v>
      </c>
      <c r="C156">
        <v>53860583</v>
      </c>
      <c r="D156">
        <v>29577901</v>
      </c>
      <c r="E156">
        <v>1</v>
      </c>
      <c r="F156">
        <v>1</v>
      </c>
      <c r="G156">
        <v>29506949</v>
      </c>
      <c r="H156">
        <v>3</v>
      </c>
      <c r="I156" t="s">
        <v>324</v>
      </c>
      <c r="J156" t="s">
        <v>326</v>
      </c>
      <c r="K156" t="s">
        <v>341</v>
      </c>
      <c r="L156">
        <v>1301</v>
      </c>
      <c r="N156">
        <v>1003</v>
      </c>
      <c r="O156" t="s">
        <v>125</v>
      </c>
      <c r="P156" t="s">
        <v>125</v>
      </c>
      <c r="Q156">
        <v>1</v>
      </c>
      <c r="W156">
        <v>0</v>
      </c>
      <c r="X156">
        <v>1789893273</v>
      </c>
      <c r="Y156">
        <f t="shared" si="66"/>
        <v>225</v>
      </c>
      <c r="AA156">
        <v>98.76</v>
      </c>
      <c r="AB156">
        <v>0</v>
      </c>
      <c r="AC156">
        <v>0</v>
      </c>
      <c r="AD156">
        <v>0</v>
      </c>
      <c r="AE156">
        <v>19.440000000000001</v>
      </c>
      <c r="AF156">
        <v>0</v>
      </c>
      <c r="AG156">
        <v>0</v>
      </c>
      <c r="AH156">
        <v>0</v>
      </c>
      <c r="AI156">
        <v>5.08</v>
      </c>
      <c r="AJ156">
        <v>1</v>
      </c>
      <c r="AK156">
        <v>1</v>
      </c>
      <c r="AL156">
        <v>1</v>
      </c>
      <c r="AM156">
        <v>0</v>
      </c>
      <c r="AN156">
        <v>0</v>
      </c>
      <c r="AO156">
        <v>0</v>
      </c>
      <c r="AP156">
        <v>1</v>
      </c>
      <c r="AQ156">
        <v>0</v>
      </c>
      <c r="AR156">
        <v>0</v>
      </c>
      <c r="AS156" t="s">
        <v>3</v>
      </c>
      <c r="AT156">
        <v>225</v>
      </c>
      <c r="AU156" t="s">
        <v>3</v>
      </c>
      <c r="AV156">
        <v>0</v>
      </c>
      <c r="AW156">
        <v>1</v>
      </c>
      <c r="AX156">
        <v>-1</v>
      </c>
      <c r="AY156">
        <v>0</v>
      </c>
      <c r="AZ156">
        <v>0</v>
      </c>
      <c r="BA156" t="s">
        <v>3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ROUND(Y156*Source!I135,9)</f>
        <v>843.75</v>
      </c>
      <c r="CY156">
        <f t="shared" si="67"/>
        <v>98.76</v>
      </c>
      <c r="CZ156">
        <f t="shared" si="68"/>
        <v>19.440000000000001</v>
      </c>
      <c r="DA156">
        <f t="shared" si="69"/>
        <v>5.08</v>
      </c>
      <c r="DB156">
        <f t="shared" si="70"/>
        <v>4374</v>
      </c>
      <c r="DC156">
        <f t="shared" si="71"/>
        <v>0</v>
      </c>
      <c r="DD156" t="s">
        <v>3</v>
      </c>
      <c r="DE156" t="s">
        <v>3</v>
      </c>
      <c r="DF156">
        <f t="shared" si="72"/>
        <v>83328.75</v>
      </c>
      <c r="DG156">
        <f t="shared" si="73"/>
        <v>0</v>
      </c>
      <c r="DH156">
        <f t="shared" si="74"/>
        <v>0</v>
      </c>
      <c r="DI156">
        <f t="shared" si="56"/>
        <v>0</v>
      </c>
      <c r="DJ156">
        <f t="shared" si="75"/>
        <v>83328.75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ROW(Source!A140)</f>
        <v>140</v>
      </c>
      <c r="B157">
        <v>53860087</v>
      </c>
      <c r="C157">
        <v>53860630</v>
      </c>
      <c r="D157">
        <v>29506954</v>
      </c>
      <c r="E157">
        <v>29506949</v>
      </c>
      <c r="F157">
        <v>1</v>
      </c>
      <c r="G157">
        <v>29506949</v>
      </c>
      <c r="H157">
        <v>1</v>
      </c>
      <c r="I157" t="s">
        <v>638</v>
      </c>
      <c r="J157" t="s">
        <v>3</v>
      </c>
      <c r="K157" t="s">
        <v>639</v>
      </c>
      <c r="L157">
        <v>1191</v>
      </c>
      <c r="N157">
        <v>1013</v>
      </c>
      <c r="O157" t="s">
        <v>640</v>
      </c>
      <c r="P157" t="s">
        <v>640</v>
      </c>
      <c r="Q157">
        <v>1</v>
      </c>
      <c r="W157">
        <v>0</v>
      </c>
      <c r="X157">
        <v>476480486</v>
      </c>
      <c r="Y157">
        <f>(AT157*1.15)</f>
        <v>12.167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10.58</v>
      </c>
      <c r="AU157" t="s">
        <v>52</v>
      </c>
      <c r="AV157">
        <v>1</v>
      </c>
      <c r="AW157">
        <v>2</v>
      </c>
      <c r="AX157">
        <v>53861269</v>
      </c>
      <c r="AY157">
        <v>1</v>
      </c>
      <c r="AZ157">
        <v>0</v>
      </c>
      <c r="BA157">
        <v>248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U157">
        <f>ROUND(AT157*Source!I140*AH157*AL157,2)</f>
        <v>0</v>
      </c>
      <c r="CV157">
        <f>ROUND(Y157*Source!I140,9)</f>
        <v>228.13124999999999</v>
      </c>
      <c r="CW157">
        <v>0</v>
      </c>
      <c r="CX157">
        <f>ROUND(Y157*Source!I140,9)</f>
        <v>228.13124999999999</v>
      </c>
      <c r="CY157">
        <f>AD157</f>
        <v>0</v>
      </c>
      <c r="CZ157">
        <f>AH157</f>
        <v>0</v>
      </c>
      <c r="DA157">
        <f>AL157</f>
        <v>1</v>
      </c>
      <c r="DB157">
        <f>ROUND((ROUND(AT157*CZ157,2)*1.15),6)</f>
        <v>0</v>
      </c>
      <c r="DC157">
        <f>ROUND((ROUND(AT157*AG157,2)*1.15),6)</f>
        <v>0</v>
      </c>
      <c r="DD157" t="s">
        <v>3</v>
      </c>
      <c r="DE157" t="s">
        <v>3</v>
      </c>
      <c r="DF157">
        <f>ROUND(ROUND(AE157,2)*CX157,2)</f>
        <v>0</v>
      </c>
      <c r="DG157">
        <f t="shared" si="73"/>
        <v>0</v>
      </c>
      <c r="DH157">
        <f t="shared" si="74"/>
        <v>0</v>
      </c>
      <c r="DI157">
        <f t="shared" si="56"/>
        <v>0</v>
      </c>
      <c r="DJ157">
        <f>DI157</f>
        <v>0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ROW(Source!A140)</f>
        <v>140</v>
      </c>
      <c r="B158">
        <v>53860087</v>
      </c>
      <c r="C158">
        <v>53860630</v>
      </c>
      <c r="D158">
        <v>29580491</v>
      </c>
      <c r="E158">
        <v>1</v>
      </c>
      <c r="F158">
        <v>1</v>
      </c>
      <c r="G158">
        <v>29506949</v>
      </c>
      <c r="H158">
        <v>2</v>
      </c>
      <c r="I158" t="s">
        <v>650</v>
      </c>
      <c r="J158" t="s">
        <v>651</v>
      </c>
      <c r="K158" t="s">
        <v>652</v>
      </c>
      <c r="L158">
        <v>1368</v>
      </c>
      <c r="N158">
        <v>1011</v>
      </c>
      <c r="O158" t="s">
        <v>647</v>
      </c>
      <c r="P158" t="s">
        <v>647</v>
      </c>
      <c r="Q158">
        <v>1</v>
      </c>
      <c r="W158">
        <v>0</v>
      </c>
      <c r="X158">
        <v>-1440889904</v>
      </c>
      <c r="Y158">
        <f>(AT158*1.25)</f>
        <v>0.6875</v>
      </c>
      <c r="AA158">
        <v>0</v>
      </c>
      <c r="AB158">
        <v>1051.9000000000001</v>
      </c>
      <c r="AC158">
        <v>397.72</v>
      </c>
      <c r="AD158">
        <v>0</v>
      </c>
      <c r="AE158">
        <v>0</v>
      </c>
      <c r="AF158">
        <v>83.1</v>
      </c>
      <c r="AG158">
        <v>12.62</v>
      </c>
      <c r="AH158">
        <v>0</v>
      </c>
      <c r="AI158">
        <v>1</v>
      </c>
      <c r="AJ158">
        <v>12.09</v>
      </c>
      <c r="AK158">
        <v>30.1</v>
      </c>
      <c r="AL158">
        <v>1</v>
      </c>
      <c r="AM158">
        <v>2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0.55000000000000004</v>
      </c>
      <c r="AU158" t="s">
        <v>51</v>
      </c>
      <c r="AV158">
        <v>0</v>
      </c>
      <c r="AW158">
        <v>2</v>
      </c>
      <c r="AX158">
        <v>53861270</v>
      </c>
      <c r="AY158">
        <v>1</v>
      </c>
      <c r="AZ158">
        <v>0</v>
      </c>
      <c r="BA158">
        <v>249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V158">
        <v>0</v>
      </c>
      <c r="CW158">
        <f>ROUND(Y158*Source!I140,9)</f>
        <v>12.890625</v>
      </c>
      <c r="CX158">
        <f>ROUND(Y158*Source!I140,9)</f>
        <v>12.890625</v>
      </c>
      <c r="CY158">
        <f>AB158</f>
        <v>1051.9000000000001</v>
      </c>
      <c r="CZ158">
        <f>AF158</f>
        <v>83.1</v>
      </c>
      <c r="DA158">
        <f>AJ158</f>
        <v>12.09</v>
      </c>
      <c r="DB158">
        <f>ROUND((ROUND(AT158*CZ158,2)*1.25),6)</f>
        <v>57.137500000000003</v>
      </c>
      <c r="DC158">
        <f>ROUND((ROUND(AT158*AG158,2)*1.25),6)</f>
        <v>8.6750000000000007</v>
      </c>
      <c r="DD158" t="s">
        <v>3</v>
      </c>
      <c r="DE158" t="s">
        <v>3</v>
      </c>
      <c r="DF158">
        <f>ROUND(ROUND(AE158,2)*CX158,2)</f>
        <v>0</v>
      </c>
      <c r="DG158">
        <f>ROUND(ROUND(AF158*AJ158,2)*CX158,2)</f>
        <v>12950.95</v>
      </c>
      <c r="DH158">
        <f>ROUND(ROUND(AG158*AK158,2)*CX158,2)</f>
        <v>4896.63</v>
      </c>
      <c r="DI158">
        <f t="shared" si="56"/>
        <v>0</v>
      </c>
      <c r="DJ158">
        <f>DG158</f>
        <v>12950.95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ROW(Source!A140)</f>
        <v>140</v>
      </c>
      <c r="B159">
        <v>53860087</v>
      </c>
      <c r="C159">
        <v>53860630</v>
      </c>
      <c r="D159">
        <v>29579847</v>
      </c>
      <c r="E159">
        <v>1</v>
      </c>
      <c r="F159">
        <v>1</v>
      </c>
      <c r="G159">
        <v>29506949</v>
      </c>
      <c r="H159">
        <v>2</v>
      </c>
      <c r="I159" t="s">
        <v>751</v>
      </c>
      <c r="J159" t="s">
        <v>752</v>
      </c>
      <c r="K159" t="s">
        <v>753</v>
      </c>
      <c r="L159">
        <v>1368</v>
      </c>
      <c r="N159">
        <v>1011</v>
      </c>
      <c r="O159" t="s">
        <v>647</v>
      </c>
      <c r="P159" t="s">
        <v>647</v>
      </c>
      <c r="Q159">
        <v>1</v>
      </c>
      <c r="W159">
        <v>0</v>
      </c>
      <c r="X159">
        <v>157578806</v>
      </c>
      <c r="Y159">
        <f>(AT159*1.25)</f>
        <v>0.8125</v>
      </c>
      <c r="AA159">
        <v>0</v>
      </c>
      <c r="AB159">
        <v>29.57</v>
      </c>
      <c r="AC159">
        <v>0</v>
      </c>
      <c r="AD159">
        <v>0</v>
      </c>
      <c r="AE159">
        <v>0</v>
      </c>
      <c r="AF159">
        <v>3.18</v>
      </c>
      <c r="AG159">
        <v>0</v>
      </c>
      <c r="AH159">
        <v>0</v>
      </c>
      <c r="AI159">
        <v>1</v>
      </c>
      <c r="AJ159">
        <v>8.8800000000000008</v>
      </c>
      <c r="AK159">
        <v>30.1</v>
      </c>
      <c r="AL159">
        <v>1</v>
      </c>
      <c r="AM159">
        <v>2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0.65</v>
      </c>
      <c r="AU159" t="s">
        <v>51</v>
      </c>
      <c r="AV159">
        <v>0</v>
      </c>
      <c r="AW159">
        <v>2</v>
      </c>
      <c r="AX159">
        <v>53861271</v>
      </c>
      <c r="AY159">
        <v>1</v>
      </c>
      <c r="AZ159">
        <v>0</v>
      </c>
      <c r="BA159">
        <v>250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f>ROUND(Y159*Source!I140,9)</f>
        <v>15.234375</v>
      </c>
      <c r="CX159">
        <f>ROUND(Y159*Source!I140,9)</f>
        <v>15.234375</v>
      </c>
      <c r="CY159">
        <f>AB159</f>
        <v>29.57</v>
      </c>
      <c r="CZ159">
        <f>AF159</f>
        <v>3.18</v>
      </c>
      <c r="DA159">
        <f>AJ159</f>
        <v>8.8800000000000008</v>
      </c>
      <c r="DB159">
        <f>ROUND((ROUND(AT159*CZ159,2)*1.25),6)</f>
        <v>2.5874999999999999</v>
      </c>
      <c r="DC159">
        <f>ROUND((ROUND(AT159*AG159,2)*1.25),6)</f>
        <v>0</v>
      </c>
      <c r="DD159" t="s">
        <v>3</v>
      </c>
      <c r="DE159" t="s">
        <v>3</v>
      </c>
      <c r="DF159">
        <f>ROUND(ROUND(AE159,2)*CX159,2)</f>
        <v>0</v>
      </c>
      <c r="DG159">
        <f>ROUND(ROUND(AF159*AJ159,2)*CX159,2)</f>
        <v>430.22</v>
      </c>
      <c r="DH159">
        <f>ROUND(ROUND(AG159*AK159,2)*CX159,2)</f>
        <v>0</v>
      </c>
      <c r="DI159">
        <f t="shared" si="56"/>
        <v>0</v>
      </c>
      <c r="DJ159">
        <f>DG159</f>
        <v>430.22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ROW(Source!A140)</f>
        <v>140</v>
      </c>
      <c r="B160">
        <v>53860087</v>
      </c>
      <c r="C160">
        <v>53860630</v>
      </c>
      <c r="D160">
        <v>29507683</v>
      </c>
      <c r="E160">
        <v>29506949</v>
      </c>
      <c r="F160">
        <v>1</v>
      </c>
      <c r="G160">
        <v>29506949</v>
      </c>
      <c r="H160">
        <v>2</v>
      </c>
      <c r="I160" t="s">
        <v>641</v>
      </c>
      <c r="J160" t="s">
        <v>3</v>
      </c>
      <c r="K160" t="s">
        <v>642</v>
      </c>
      <c r="L160">
        <v>1344</v>
      </c>
      <c r="N160">
        <v>1008</v>
      </c>
      <c r="O160" t="s">
        <v>643</v>
      </c>
      <c r="P160" t="s">
        <v>643</v>
      </c>
      <c r="Q160">
        <v>1</v>
      </c>
      <c r="W160">
        <v>0</v>
      </c>
      <c r="X160">
        <v>-1180195794</v>
      </c>
      <c r="Y160">
        <f>(AT160*1.25)</f>
        <v>1.2500000000000001E-2</v>
      </c>
      <c r="AA160">
        <v>0</v>
      </c>
      <c r="AB160">
        <v>1.05</v>
      </c>
      <c r="AC160">
        <v>0</v>
      </c>
      <c r="AD160">
        <v>0</v>
      </c>
      <c r="AE160">
        <v>0</v>
      </c>
      <c r="AF160">
        <v>1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M160">
        <v>-2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0.01</v>
      </c>
      <c r="AU160" t="s">
        <v>51</v>
      </c>
      <c r="AV160">
        <v>0</v>
      </c>
      <c r="AW160">
        <v>2</v>
      </c>
      <c r="AX160">
        <v>53861272</v>
      </c>
      <c r="AY160">
        <v>1</v>
      </c>
      <c r="AZ160">
        <v>0</v>
      </c>
      <c r="BA160">
        <v>251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V160">
        <v>0</v>
      </c>
      <c r="CW160">
        <f>ROUND(Y160*Source!I140,9)</f>
        <v>0.234375</v>
      </c>
      <c r="CX160">
        <f>ROUND(Y160*Source!I140,9)</f>
        <v>0.234375</v>
      </c>
      <c r="CY160">
        <f>AB160</f>
        <v>1.05</v>
      </c>
      <c r="CZ160">
        <f>AF160</f>
        <v>1</v>
      </c>
      <c r="DA160">
        <f>AJ160</f>
        <v>1</v>
      </c>
      <c r="DB160">
        <f>ROUND((ROUND(AT160*CZ160,2)*1.25),6)</f>
        <v>1.2500000000000001E-2</v>
      </c>
      <c r="DC160">
        <f>ROUND((ROUND(AT160*AG160,2)*1.25),6)</f>
        <v>0</v>
      </c>
      <c r="DD160" t="s">
        <v>3</v>
      </c>
      <c r="DE160" t="s">
        <v>3</v>
      </c>
      <c r="DF160">
        <f>ROUND(ROUND(AE160,2)*CX160,2)</f>
        <v>0</v>
      </c>
      <c r="DG160">
        <f>ROUND(ROUND(AF160,2)*CX160,2)</f>
        <v>0.23</v>
      </c>
      <c r="DH160">
        <f>ROUND(ROUND(AG160,2)*CX160,2)</f>
        <v>0</v>
      </c>
      <c r="DI160">
        <f t="shared" si="56"/>
        <v>0</v>
      </c>
      <c r="DJ160">
        <f>DG160</f>
        <v>0.23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ROW(Source!A140)</f>
        <v>140</v>
      </c>
      <c r="B161">
        <v>53860087</v>
      </c>
      <c r="C161">
        <v>53860630</v>
      </c>
      <c r="D161">
        <v>29556271</v>
      </c>
      <c r="E161">
        <v>1</v>
      </c>
      <c r="F161">
        <v>1</v>
      </c>
      <c r="G161">
        <v>29506949</v>
      </c>
      <c r="H161">
        <v>3</v>
      </c>
      <c r="I161" t="s">
        <v>336</v>
      </c>
      <c r="J161" t="s">
        <v>338</v>
      </c>
      <c r="K161" t="s">
        <v>337</v>
      </c>
      <c r="L161">
        <v>1339</v>
      </c>
      <c r="N161">
        <v>1007</v>
      </c>
      <c r="O161" t="s">
        <v>70</v>
      </c>
      <c r="P161" t="s">
        <v>70</v>
      </c>
      <c r="Q161">
        <v>1</v>
      </c>
      <c r="W161">
        <v>0</v>
      </c>
      <c r="X161">
        <v>724318371</v>
      </c>
      <c r="Y161">
        <f>AT161</f>
        <v>1.02</v>
      </c>
      <c r="AA161">
        <v>5438.7</v>
      </c>
      <c r="AB161">
        <v>0</v>
      </c>
      <c r="AC161">
        <v>0</v>
      </c>
      <c r="AD161">
        <v>0</v>
      </c>
      <c r="AE161">
        <v>609.28</v>
      </c>
      <c r="AF161">
        <v>0</v>
      </c>
      <c r="AG161">
        <v>0</v>
      </c>
      <c r="AH161">
        <v>0</v>
      </c>
      <c r="AI161">
        <v>8.76</v>
      </c>
      <c r="AJ161">
        <v>1</v>
      </c>
      <c r="AK161">
        <v>1</v>
      </c>
      <c r="AL161">
        <v>1</v>
      </c>
      <c r="AM161">
        <v>0</v>
      </c>
      <c r="AN161">
        <v>0</v>
      </c>
      <c r="AO161">
        <v>0</v>
      </c>
      <c r="AP161">
        <v>1</v>
      </c>
      <c r="AQ161">
        <v>0</v>
      </c>
      <c r="AR161">
        <v>0</v>
      </c>
      <c r="AS161" t="s">
        <v>3</v>
      </c>
      <c r="AT161">
        <v>1.02</v>
      </c>
      <c r="AU161" t="s">
        <v>3</v>
      </c>
      <c r="AV161">
        <v>0</v>
      </c>
      <c r="AW161">
        <v>1</v>
      </c>
      <c r="AX161">
        <v>-1</v>
      </c>
      <c r="AY161">
        <v>0</v>
      </c>
      <c r="AZ161">
        <v>0</v>
      </c>
      <c r="BA161" t="s">
        <v>3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V161">
        <v>0</v>
      </c>
      <c r="CW161">
        <v>0</v>
      </c>
      <c r="CX161">
        <f>ROUND(Y161*Source!I140,9)</f>
        <v>19.125</v>
      </c>
      <c r="CY161">
        <f>AA161</f>
        <v>5438.7</v>
      </c>
      <c r="CZ161">
        <f>AE161</f>
        <v>609.28</v>
      </c>
      <c r="DA161">
        <f>AI161</f>
        <v>8.76</v>
      </c>
      <c r="DB161">
        <f>ROUND(ROUND(AT161*CZ161,2),6)</f>
        <v>621.47</v>
      </c>
      <c r="DC161">
        <f>ROUND(ROUND(AT161*AG161,2),6)</f>
        <v>0</v>
      </c>
      <c r="DD161" t="s">
        <v>3</v>
      </c>
      <c r="DE161" t="s">
        <v>3</v>
      </c>
      <c r="DF161">
        <f>ROUND(ROUND(AE161*AI161,2)*CX161,2)</f>
        <v>102075.67</v>
      </c>
      <c r="DG161">
        <f>ROUND(ROUND(AF161,2)*CX161,2)</f>
        <v>0</v>
      </c>
      <c r="DH161">
        <f>ROUND(ROUND(AG161,2)*CX161,2)</f>
        <v>0</v>
      </c>
      <c r="DI161">
        <f t="shared" si="56"/>
        <v>0</v>
      </c>
      <c r="DJ161">
        <f>DF161</f>
        <v>102075.67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ROW(Source!A142)</f>
        <v>142</v>
      </c>
      <c r="B162">
        <v>53860087</v>
      </c>
      <c r="C162">
        <v>53860642</v>
      </c>
      <c r="D162">
        <v>29556831</v>
      </c>
      <c r="E162">
        <v>1</v>
      </c>
      <c r="F162">
        <v>1</v>
      </c>
      <c r="G162">
        <v>29506949</v>
      </c>
      <c r="H162">
        <v>3</v>
      </c>
      <c r="I162" t="s">
        <v>140</v>
      </c>
      <c r="J162" t="s">
        <v>142</v>
      </c>
      <c r="K162" t="s">
        <v>141</v>
      </c>
      <c r="L162">
        <v>1348</v>
      </c>
      <c r="N162">
        <v>1009</v>
      </c>
      <c r="O162" t="s">
        <v>75</v>
      </c>
      <c r="P162" t="s">
        <v>75</v>
      </c>
      <c r="Q162">
        <v>1000</v>
      </c>
      <c r="W162">
        <v>0</v>
      </c>
      <c r="X162">
        <v>1793685401</v>
      </c>
      <c r="Y162">
        <f>AT162</f>
        <v>2.9000000000000001E-2</v>
      </c>
      <c r="AA162">
        <v>18982.740000000002</v>
      </c>
      <c r="AB162">
        <v>0</v>
      </c>
      <c r="AC162">
        <v>0</v>
      </c>
      <c r="AD162">
        <v>0</v>
      </c>
      <c r="AE162">
        <v>2278.84</v>
      </c>
      <c r="AF162">
        <v>0</v>
      </c>
      <c r="AG162">
        <v>0</v>
      </c>
      <c r="AH162">
        <v>0</v>
      </c>
      <c r="AI162">
        <v>8.33</v>
      </c>
      <c r="AJ162">
        <v>1</v>
      </c>
      <c r="AK162">
        <v>1</v>
      </c>
      <c r="AL162">
        <v>1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 t="s">
        <v>3</v>
      </c>
      <c r="AT162">
        <v>2.9000000000000001E-2</v>
      </c>
      <c r="AU162" t="s">
        <v>3</v>
      </c>
      <c r="AV162">
        <v>0</v>
      </c>
      <c r="AW162">
        <v>1</v>
      </c>
      <c r="AX162">
        <v>-1</v>
      </c>
      <c r="AY162">
        <v>0</v>
      </c>
      <c r="AZ162">
        <v>0</v>
      </c>
      <c r="BA162" t="s">
        <v>3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V162">
        <v>0</v>
      </c>
      <c r="CW162">
        <v>0</v>
      </c>
      <c r="CX162">
        <f>ROUND(Y162*Source!I142,9)</f>
        <v>9.8600000000000007E-3</v>
      </c>
      <c r="CY162">
        <f>AA162</f>
        <v>18982.740000000002</v>
      </c>
      <c r="CZ162">
        <f>AE162</f>
        <v>2278.84</v>
      </c>
      <c r="DA162">
        <f>AI162</f>
        <v>8.33</v>
      </c>
      <c r="DB162">
        <f>ROUND(ROUND(AT162*CZ162,2),6)</f>
        <v>66.09</v>
      </c>
      <c r="DC162">
        <f>ROUND(ROUND(AT162*AG162,2),6)</f>
        <v>0</v>
      </c>
      <c r="DD162" t="s">
        <v>3</v>
      </c>
      <c r="DE162" t="s">
        <v>3</v>
      </c>
      <c r="DF162">
        <f>ROUND(ROUND(AE162*AI162,2)*CX162,2)</f>
        <v>187.17</v>
      </c>
      <c r="DG162">
        <f>ROUND(ROUND(AF162,2)*CX162,2)</f>
        <v>0</v>
      </c>
      <c r="DH162">
        <f>ROUND(ROUND(AG162,2)*CX162,2)</f>
        <v>0</v>
      </c>
      <c r="DI162">
        <f t="shared" si="56"/>
        <v>0</v>
      </c>
      <c r="DJ162">
        <f>DF162</f>
        <v>187.17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ROW(Source!A144)</f>
        <v>144</v>
      </c>
      <c r="B163">
        <v>53860087</v>
      </c>
      <c r="C163">
        <v>53860645</v>
      </c>
      <c r="D163">
        <v>29506954</v>
      </c>
      <c r="E163">
        <v>29506949</v>
      </c>
      <c r="F163">
        <v>1</v>
      </c>
      <c r="G163">
        <v>29506949</v>
      </c>
      <c r="H163">
        <v>1</v>
      </c>
      <c r="I163" t="s">
        <v>638</v>
      </c>
      <c r="J163" t="s">
        <v>3</v>
      </c>
      <c r="K163" t="s">
        <v>639</v>
      </c>
      <c r="L163">
        <v>1191</v>
      </c>
      <c r="N163">
        <v>1013</v>
      </c>
      <c r="O163" t="s">
        <v>640</v>
      </c>
      <c r="P163" t="s">
        <v>640</v>
      </c>
      <c r="Q163">
        <v>1</v>
      </c>
      <c r="W163">
        <v>0</v>
      </c>
      <c r="X163">
        <v>476480486</v>
      </c>
      <c r="Y163">
        <f>(AT163*1.15)</f>
        <v>37.639499999999991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32.729999999999997</v>
      </c>
      <c r="AU163" t="s">
        <v>52</v>
      </c>
      <c r="AV163">
        <v>1</v>
      </c>
      <c r="AW163">
        <v>2</v>
      </c>
      <c r="AX163">
        <v>53861279</v>
      </c>
      <c r="AY163">
        <v>1</v>
      </c>
      <c r="AZ163">
        <v>0</v>
      </c>
      <c r="BA163">
        <v>258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U163">
        <f>ROUND(AT163*Source!I144*AH163*AL163,2)</f>
        <v>0</v>
      </c>
      <c r="CV163">
        <f>ROUND(Y163*Source!I144,9)</f>
        <v>12.79743</v>
      </c>
      <c r="CW163">
        <v>0</v>
      </c>
      <c r="CX163">
        <f>ROUND(Y163*Source!I144,9)</f>
        <v>12.79743</v>
      </c>
      <c r="CY163">
        <f>AD163</f>
        <v>0</v>
      </c>
      <c r="CZ163">
        <f>AH163</f>
        <v>0</v>
      </c>
      <c r="DA163">
        <f>AL163</f>
        <v>1</v>
      </c>
      <c r="DB163">
        <f>ROUND((ROUND(AT163*CZ163,2)*1.15),6)</f>
        <v>0</v>
      </c>
      <c r="DC163">
        <f>ROUND((ROUND(AT163*AG163,2)*1.15),6)</f>
        <v>0</v>
      </c>
      <c r="DD163" t="s">
        <v>3</v>
      </c>
      <c r="DE163" t="s">
        <v>3</v>
      </c>
      <c r="DF163">
        <f>ROUND(ROUND(AE163,2)*CX163,2)</f>
        <v>0</v>
      </c>
      <c r="DG163">
        <f>ROUND(ROUND(AF163,2)*CX163,2)</f>
        <v>0</v>
      </c>
      <c r="DH163">
        <f>ROUND(ROUND(AG163,2)*CX163,2)</f>
        <v>0</v>
      </c>
      <c r="DI163">
        <f t="shared" si="56"/>
        <v>0</v>
      </c>
      <c r="DJ163">
        <f>DI163</f>
        <v>0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ROW(Source!A144)</f>
        <v>144</v>
      </c>
      <c r="B164">
        <v>53860087</v>
      </c>
      <c r="C164">
        <v>53860645</v>
      </c>
      <c r="D164">
        <v>29580491</v>
      </c>
      <c r="E164">
        <v>1</v>
      </c>
      <c r="F164">
        <v>1</v>
      </c>
      <c r="G164">
        <v>29506949</v>
      </c>
      <c r="H164">
        <v>2</v>
      </c>
      <c r="I164" t="s">
        <v>650</v>
      </c>
      <c r="J164" t="s">
        <v>651</v>
      </c>
      <c r="K164" t="s">
        <v>652</v>
      </c>
      <c r="L164">
        <v>1368</v>
      </c>
      <c r="N164">
        <v>1011</v>
      </c>
      <c r="O164" t="s">
        <v>647</v>
      </c>
      <c r="P164" t="s">
        <v>647</v>
      </c>
      <c r="Q164">
        <v>1</v>
      </c>
      <c r="W164">
        <v>0</v>
      </c>
      <c r="X164">
        <v>-1440889904</v>
      </c>
      <c r="Y164">
        <f>(AT164*1.25)</f>
        <v>0.125</v>
      </c>
      <c r="AA164">
        <v>0</v>
      </c>
      <c r="AB164">
        <v>1029.8</v>
      </c>
      <c r="AC164">
        <v>389.36</v>
      </c>
      <c r="AD164">
        <v>0</v>
      </c>
      <c r="AE164">
        <v>0</v>
      </c>
      <c r="AF164">
        <v>83.1</v>
      </c>
      <c r="AG164">
        <v>12.62</v>
      </c>
      <c r="AH164">
        <v>0</v>
      </c>
      <c r="AI164">
        <v>1</v>
      </c>
      <c r="AJ164">
        <v>12.09</v>
      </c>
      <c r="AK164">
        <v>30.1</v>
      </c>
      <c r="AL164">
        <v>1</v>
      </c>
      <c r="AM164">
        <v>2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0.1</v>
      </c>
      <c r="AU164" t="s">
        <v>51</v>
      </c>
      <c r="AV164">
        <v>0</v>
      </c>
      <c r="AW164">
        <v>2</v>
      </c>
      <c r="AX164">
        <v>53861280</v>
      </c>
      <c r="AY164">
        <v>1</v>
      </c>
      <c r="AZ164">
        <v>0</v>
      </c>
      <c r="BA164">
        <v>259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V164">
        <v>0</v>
      </c>
      <c r="CW164">
        <f>ROUND(Y164*Source!I144,9)</f>
        <v>4.2500000000000003E-2</v>
      </c>
      <c r="CX164">
        <f>ROUND(Y164*Source!I144,9)</f>
        <v>4.2500000000000003E-2</v>
      </c>
      <c r="CY164">
        <f>AB164</f>
        <v>1029.8</v>
      </c>
      <c r="CZ164">
        <f>AF164</f>
        <v>83.1</v>
      </c>
      <c r="DA164">
        <f>AJ164</f>
        <v>12.09</v>
      </c>
      <c r="DB164">
        <f>ROUND((ROUND(AT164*CZ164,2)*1.25),6)</f>
        <v>10.387499999999999</v>
      </c>
      <c r="DC164">
        <f>ROUND((ROUND(AT164*AG164,2)*1.25),6)</f>
        <v>1.575</v>
      </c>
      <c r="DD164" t="s">
        <v>3</v>
      </c>
      <c r="DE164" t="s">
        <v>3</v>
      </c>
      <c r="DF164">
        <f>ROUND(ROUND(AE164,2)*CX164,2)</f>
        <v>0</v>
      </c>
      <c r="DG164">
        <f>ROUND(ROUND(AF164*AJ164,2)*CX164,2)</f>
        <v>42.7</v>
      </c>
      <c r="DH164">
        <f>ROUND(ROUND(AG164*AK164,2)*CX164,2)</f>
        <v>16.14</v>
      </c>
      <c r="DI164">
        <f t="shared" si="56"/>
        <v>0</v>
      </c>
      <c r="DJ164">
        <f>DG164</f>
        <v>42.7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ROW(Source!A144)</f>
        <v>144</v>
      </c>
      <c r="B165">
        <v>53860087</v>
      </c>
      <c r="C165">
        <v>53860645</v>
      </c>
      <c r="D165">
        <v>29555595</v>
      </c>
      <c r="E165">
        <v>1</v>
      </c>
      <c r="F165">
        <v>1</v>
      </c>
      <c r="G165">
        <v>29506949</v>
      </c>
      <c r="H165">
        <v>3</v>
      </c>
      <c r="I165" t="s">
        <v>656</v>
      </c>
      <c r="J165" t="s">
        <v>657</v>
      </c>
      <c r="K165" t="s">
        <v>658</v>
      </c>
      <c r="L165">
        <v>1346</v>
      </c>
      <c r="N165">
        <v>1009</v>
      </c>
      <c r="O165" t="s">
        <v>58</v>
      </c>
      <c r="P165" t="s">
        <v>58</v>
      </c>
      <c r="Q165">
        <v>1</v>
      </c>
      <c r="W165">
        <v>0</v>
      </c>
      <c r="X165">
        <v>622621594</v>
      </c>
      <c r="Y165">
        <f t="shared" ref="Y165:Y174" si="76">AT165</f>
        <v>0.31</v>
      </c>
      <c r="AA165">
        <v>53.55</v>
      </c>
      <c r="AB165">
        <v>0</v>
      </c>
      <c r="AC165">
        <v>0</v>
      </c>
      <c r="AD165">
        <v>0</v>
      </c>
      <c r="AE165">
        <v>1.61</v>
      </c>
      <c r="AF165">
        <v>0</v>
      </c>
      <c r="AG165">
        <v>0</v>
      </c>
      <c r="AH165">
        <v>0</v>
      </c>
      <c r="AI165">
        <v>33.26</v>
      </c>
      <c r="AJ165">
        <v>1</v>
      </c>
      <c r="AK165">
        <v>1</v>
      </c>
      <c r="AL165">
        <v>1</v>
      </c>
      <c r="AM165">
        <v>2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0.31</v>
      </c>
      <c r="AU165" t="s">
        <v>3</v>
      </c>
      <c r="AV165">
        <v>0</v>
      </c>
      <c r="AW165">
        <v>2</v>
      </c>
      <c r="AX165">
        <v>53861281</v>
      </c>
      <c r="AY165">
        <v>1</v>
      </c>
      <c r="AZ165">
        <v>0</v>
      </c>
      <c r="BA165">
        <v>260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v>0</v>
      </c>
      <c r="CX165">
        <f>ROUND(Y165*Source!I144,9)</f>
        <v>0.10539999999999999</v>
      </c>
      <c r="CY165">
        <f t="shared" ref="CY165:CY174" si="77">AA165</f>
        <v>53.55</v>
      </c>
      <c r="CZ165">
        <f t="shared" ref="CZ165:CZ174" si="78">AE165</f>
        <v>1.61</v>
      </c>
      <c r="DA165">
        <f t="shared" ref="DA165:DA174" si="79">AI165</f>
        <v>33.26</v>
      </c>
      <c r="DB165">
        <f t="shared" ref="DB165:DB174" si="80">ROUND(ROUND(AT165*CZ165,2),6)</f>
        <v>0.5</v>
      </c>
      <c r="DC165">
        <f t="shared" ref="DC165:DC174" si="81">ROUND(ROUND(AT165*AG165,2),6)</f>
        <v>0</v>
      </c>
      <c r="DD165" t="s">
        <v>3</v>
      </c>
      <c r="DE165" t="s">
        <v>3</v>
      </c>
      <c r="DF165">
        <f t="shared" ref="DF165:DF174" si="82">ROUND(ROUND(AE165*AI165,2)*CX165,2)</f>
        <v>5.64</v>
      </c>
      <c r="DG165">
        <f t="shared" ref="DG165:DG175" si="83">ROUND(ROUND(AF165,2)*CX165,2)</f>
        <v>0</v>
      </c>
      <c r="DH165">
        <f t="shared" ref="DH165:DH175" si="84">ROUND(ROUND(AG165,2)*CX165,2)</f>
        <v>0</v>
      </c>
      <c r="DI165">
        <f t="shared" si="56"/>
        <v>0</v>
      </c>
      <c r="DJ165">
        <f t="shared" ref="DJ165:DJ174" si="85">DF165</f>
        <v>5.64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ROW(Source!A144)</f>
        <v>144</v>
      </c>
      <c r="B166">
        <v>53860087</v>
      </c>
      <c r="C166">
        <v>53860645</v>
      </c>
      <c r="D166">
        <v>29556811</v>
      </c>
      <c r="E166">
        <v>1</v>
      </c>
      <c r="F166">
        <v>1</v>
      </c>
      <c r="G166">
        <v>29506949</v>
      </c>
      <c r="H166">
        <v>3</v>
      </c>
      <c r="I166" t="s">
        <v>659</v>
      </c>
      <c r="J166" t="s">
        <v>660</v>
      </c>
      <c r="K166" t="s">
        <v>661</v>
      </c>
      <c r="L166">
        <v>1327</v>
      </c>
      <c r="N166">
        <v>1005</v>
      </c>
      <c r="O166" t="s">
        <v>100</v>
      </c>
      <c r="P166" t="s">
        <v>100</v>
      </c>
      <c r="Q166">
        <v>1</v>
      </c>
      <c r="W166">
        <v>0</v>
      </c>
      <c r="X166">
        <v>1579706749</v>
      </c>
      <c r="Y166">
        <f t="shared" si="76"/>
        <v>0.84</v>
      </c>
      <c r="AA166">
        <v>151.84</v>
      </c>
      <c r="AB166">
        <v>0</v>
      </c>
      <c r="AC166">
        <v>0</v>
      </c>
      <c r="AD166">
        <v>0</v>
      </c>
      <c r="AE166">
        <v>104</v>
      </c>
      <c r="AF166">
        <v>0</v>
      </c>
      <c r="AG166">
        <v>0</v>
      </c>
      <c r="AH166">
        <v>0</v>
      </c>
      <c r="AI166">
        <v>1.46</v>
      </c>
      <c r="AJ166">
        <v>1</v>
      </c>
      <c r="AK166">
        <v>1</v>
      </c>
      <c r="AL166">
        <v>1</v>
      </c>
      <c r="AM166">
        <v>2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0.84</v>
      </c>
      <c r="AU166" t="s">
        <v>3</v>
      </c>
      <c r="AV166">
        <v>0</v>
      </c>
      <c r="AW166">
        <v>2</v>
      </c>
      <c r="AX166">
        <v>53861282</v>
      </c>
      <c r="AY166">
        <v>1</v>
      </c>
      <c r="AZ166">
        <v>0</v>
      </c>
      <c r="BA166">
        <v>261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V166">
        <v>0</v>
      </c>
      <c r="CW166">
        <v>0</v>
      </c>
      <c r="CX166">
        <f>ROUND(Y166*Source!I144,9)</f>
        <v>0.28560000000000002</v>
      </c>
      <c r="CY166">
        <f t="shared" si="77"/>
        <v>151.84</v>
      </c>
      <c r="CZ166">
        <f t="shared" si="78"/>
        <v>104</v>
      </c>
      <c r="DA166">
        <f t="shared" si="79"/>
        <v>1.46</v>
      </c>
      <c r="DB166">
        <f t="shared" si="80"/>
        <v>87.36</v>
      </c>
      <c r="DC166">
        <f t="shared" si="81"/>
        <v>0</v>
      </c>
      <c r="DD166" t="s">
        <v>3</v>
      </c>
      <c r="DE166" t="s">
        <v>3</v>
      </c>
      <c r="DF166">
        <f t="shared" si="82"/>
        <v>43.37</v>
      </c>
      <c r="DG166">
        <f t="shared" si="83"/>
        <v>0</v>
      </c>
      <c r="DH166">
        <f t="shared" si="84"/>
        <v>0</v>
      </c>
      <c r="DI166">
        <f t="shared" si="56"/>
        <v>0</v>
      </c>
      <c r="DJ166">
        <f t="shared" si="85"/>
        <v>43.37</v>
      </c>
      <c r="DK166">
        <v>0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ROW(Source!A144)</f>
        <v>144</v>
      </c>
      <c r="B167">
        <v>53860087</v>
      </c>
      <c r="C167">
        <v>53860645</v>
      </c>
      <c r="D167">
        <v>29556824</v>
      </c>
      <c r="E167">
        <v>1</v>
      </c>
      <c r="F167">
        <v>1</v>
      </c>
      <c r="G167">
        <v>29506949</v>
      </c>
      <c r="H167">
        <v>3</v>
      </c>
      <c r="I167" t="s">
        <v>662</v>
      </c>
      <c r="J167" t="s">
        <v>663</v>
      </c>
      <c r="K167" t="s">
        <v>664</v>
      </c>
      <c r="L167">
        <v>1348</v>
      </c>
      <c r="N167">
        <v>1009</v>
      </c>
      <c r="O167" t="s">
        <v>75</v>
      </c>
      <c r="P167" t="s">
        <v>75</v>
      </c>
      <c r="Q167">
        <v>1000</v>
      </c>
      <c r="W167">
        <v>0</v>
      </c>
      <c r="X167">
        <v>580281819</v>
      </c>
      <c r="Y167">
        <f t="shared" si="76"/>
        <v>5.0000000000000001E-3</v>
      </c>
      <c r="AA167">
        <v>44232.91</v>
      </c>
      <c r="AB167">
        <v>0</v>
      </c>
      <c r="AC167">
        <v>0</v>
      </c>
      <c r="AD167">
        <v>0</v>
      </c>
      <c r="AE167">
        <v>13953.6</v>
      </c>
      <c r="AF167">
        <v>0</v>
      </c>
      <c r="AG167">
        <v>0</v>
      </c>
      <c r="AH167">
        <v>0</v>
      </c>
      <c r="AI167">
        <v>3.17</v>
      </c>
      <c r="AJ167">
        <v>1</v>
      </c>
      <c r="AK167">
        <v>1</v>
      </c>
      <c r="AL167">
        <v>1</v>
      </c>
      <c r="AM167">
        <v>2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5.0000000000000001E-3</v>
      </c>
      <c r="AU167" t="s">
        <v>3</v>
      </c>
      <c r="AV167">
        <v>0</v>
      </c>
      <c r="AW167">
        <v>2</v>
      </c>
      <c r="AX167">
        <v>53861283</v>
      </c>
      <c r="AY167">
        <v>1</v>
      </c>
      <c r="AZ167">
        <v>0</v>
      </c>
      <c r="BA167">
        <v>262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V167">
        <v>0</v>
      </c>
      <c r="CW167">
        <v>0</v>
      </c>
      <c r="CX167">
        <f>ROUND(Y167*Source!I144,9)</f>
        <v>1.6999999999999999E-3</v>
      </c>
      <c r="CY167">
        <f t="shared" si="77"/>
        <v>44232.91</v>
      </c>
      <c r="CZ167">
        <f t="shared" si="78"/>
        <v>13953.6</v>
      </c>
      <c r="DA167">
        <f t="shared" si="79"/>
        <v>3.17</v>
      </c>
      <c r="DB167">
        <f t="shared" si="80"/>
        <v>69.77</v>
      </c>
      <c r="DC167">
        <f t="shared" si="81"/>
        <v>0</v>
      </c>
      <c r="DD167" t="s">
        <v>3</v>
      </c>
      <c r="DE167" t="s">
        <v>3</v>
      </c>
      <c r="DF167">
        <f t="shared" si="82"/>
        <v>75.2</v>
      </c>
      <c r="DG167">
        <f t="shared" si="83"/>
        <v>0</v>
      </c>
      <c r="DH167">
        <f t="shared" si="84"/>
        <v>0</v>
      </c>
      <c r="DI167">
        <f t="shared" si="56"/>
        <v>0</v>
      </c>
      <c r="DJ167">
        <f t="shared" si="85"/>
        <v>75.2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ROW(Source!A144)</f>
        <v>144</v>
      </c>
      <c r="B168">
        <v>53860087</v>
      </c>
      <c r="C168">
        <v>53860645</v>
      </c>
      <c r="D168">
        <v>29557964</v>
      </c>
      <c r="E168">
        <v>1</v>
      </c>
      <c r="F168">
        <v>1</v>
      </c>
      <c r="G168">
        <v>29506949</v>
      </c>
      <c r="H168">
        <v>3</v>
      </c>
      <c r="I168" t="s">
        <v>56</v>
      </c>
      <c r="J168" t="s">
        <v>59</v>
      </c>
      <c r="K168" t="s">
        <v>57</v>
      </c>
      <c r="L168">
        <v>1346</v>
      </c>
      <c r="N168">
        <v>1009</v>
      </c>
      <c r="O168" t="s">
        <v>58</v>
      </c>
      <c r="P168" t="s">
        <v>58</v>
      </c>
      <c r="Q168">
        <v>1</v>
      </c>
      <c r="W168">
        <v>0</v>
      </c>
      <c r="X168">
        <v>33071459</v>
      </c>
      <c r="Y168">
        <f t="shared" si="76"/>
        <v>20</v>
      </c>
      <c r="AA168">
        <v>103.75</v>
      </c>
      <c r="AB168">
        <v>0</v>
      </c>
      <c r="AC168">
        <v>0</v>
      </c>
      <c r="AD168">
        <v>0</v>
      </c>
      <c r="AE168">
        <v>28.98</v>
      </c>
      <c r="AF168">
        <v>0</v>
      </c>
      <c r="AG168">
        <v>0</v>
      </c>
      <c r="AH168">
        <v>0</v>
      </c>
      <c r="AI168">
        <v>3.58</v>
      </c>
      <c r="AJ168">
        <v>1</v>
      </c>
      <c r="AK168">
        <v>1</v>
      </c>
      <c r="AL168">
        <v>1</v>
      </c>
      <c r="AM168">
        <v>0</v>
      </c>
      <c r="AN168">
        <v>0</v>
      </c>
      <c r="AO168">
        <v>0</v>
      </c>
      <c r="AP168">
        <v>1</v>
      </c>
      <c r="AQ168">
        <v>0</v>
      </c>
      <c r="AR168">
        <v>0</v>
      </c>
      <c r="AS168" t="s">
        <v>3</v>
      </c>
      <c r="AT168">
        <v>20</v>
      </c>
      <c r="AU168" t="s">
        <v>3</v>
      </c>
      <c r="AV168">
        <v>0</v>
      </c>
      <c r="AW168">
        <v>1</v>
      </c>
      <c r="AX168">
        <v>-1</v>
      </c>
      <c r="AY168">
        <v>0</v>
      </c>
      <c r="AZ168">
        <v>0</v>
      </c>
      <c r="BA168" t="s">
        <v>3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V168">
        <v>0</v>
      </c>
      <c r="CW168">
        <v>0</v>
      </c>
      <c r="CX168">
        <f>ROUND(Y168*Source!I144,9)</f>
        <v>6.8</v>
      </c>
      <c r="CY168">
        <f t="shared" si="77"/>
        <v>103.75</v>
      </c>
      <c r="CZ168">
        <f t="shared" si="78"/>
        <v>28.98</v>
      </c>
      <c r="DA168">
        <f t="shared" si="79"/>
        <v>3.58</v>
      </c>
      <c r="DB168">
        <f t="shared" si="80"/>
        <v>579.6</v>
      </c>
      <c r="DC168">
        <f t="shared" si="81"/>
        <v>0</v>
      </c>
      <c r="DD168" t="s">
        <v>3</v>
      </c>
      <c r="DE168" t="s">
        <v>3</v>
      </c>
      <c r="DF168">
        <f t="shared" si="82"/>
        <v>705.5</v>
      </c>
      <c r="DG168">
        <f t="shared" si="83"/>
        <v>0</v>
      </c>
      <c r="DH168">
        <f t="shared" si="84"/>
        <v>0</v>
      </c>
      <c r="DI168">
        <f t="shared" si="56"/>
        <v>0</v>
      </c>
      <c r="DJ168">
        <f t="shared" si="85"/>
        <v>705.5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ROW(Source!A144)</f>
        <v>144</v>
      </c>
      <c r="B169">
        <v>53860087</v>
      </c>
      <c r="C169">
        <v>53860645</v>
      </c>
      <c r="D169">
        <v>29558996</v>
      </c>
      <c r="E169">
        <v>1</v>
      </c>
      <c r="F169">
        <v>1</v>
      </c>
      <c r="G169">
        <v>29506949</v>
      </c>
      <c r="H169">
        <v>3</v>
      </c>
      <c r="I169" t="s">
        <v>89</v>
      </c>
      <c r="J169" t="s">
        <v>90</v>
      </c>
      <c r="K169" t="s">
        <v>976</v>
      </c>
      <c r="L169">
        <v>1346</v>
      </c>
      <c r="N169">
        <v>1009</v>
      </c>
      <c r="O169" t="s">
        <v>58</v>
      </c>
      <c r="P169" t="s">
        <v>58</v>
      </c>
      <c r="Q169">
        <v>1</v>
      </c>
      <c r="W169">
        <v>0</v>
      </c>
      <c r="X169">
        <v>-1515598087</v>
      </c>
      <c r="Y169">
        <f t="shared" si="76"/>
        <v>30</v>
      </c>
      <c r="AA169">
        <v>513.11</v>
      </c>
      <c r="AB169">
        <v>0</v>
      </c>
      <c r="AC169">
        <v>0</v>
      </c>
      <c r="AD169">
        <v>0</v>
      </c>
      <c r="AE169">
        <v>108.25</v>
      </c>
      <c r="AF169">
        <v>0</v>
      </c>
      <c r="AG169">
        <v>0</v>
      </c>
      <c r="AH169">
        <v>0</v>
      </c>
      <c r="AI169">
        <v>4.74</v>
      </c>
      <c r="AJ169">
        <v>1</v>
      </c>
      <c r="AK169">
        <v>1</v>
      </c>
      <c r="AL169">
        <v>1</v>
      </c>
      <c r="AM169">
        <v>0</v>
      </c>
      <c r="AN169">
        <v>0</v>
      </c>
      <c r="AO169">
        <v>0</v>
      </c>
      <c r="AP169">
        <v>1</v>
      </c>
      <c r="AQ169">
        <v>0</v>
      </c>
      <c r="AR169">
        <v>0</v>
      </c>
      <c r="AS169" t="s">
        <v>3</v>
      </c>
      <c r="AT169">
        <v>30</v>
      </c>
      <c r="AU169" t="s">
        <v>3</v>
      </c>
      <c r="AV169">
        <v>0</v>
      </c>
      <c r="AW169">
        <v>1</v>
      </c>
      <c r="AX169">
        <v>-1</v>
      </c>
      <c r="AY169">
        <v>0</v>
      </c>
      <c r="AZ169">
        <v>0</v>
      </c>
      <c r="BA169" t="s">
        <v>3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V169">
        <v>0</v>
      </c>
      <c r="CW169">
        <v>0</v>
      </c>
      <c r="CX169">
        <f>ROUND(Y169*Source!I144,9)</f>
        <v>10.199999999999999</v>
      </c>
      <c r="CY169">
        <f t="shared" si="77"/>
        <v>513.11</v>
      </c>
      <c r="CZ169">
        <f t="shared" si="78"/>
        <v>108.25</v>
      </c>
      <c r="DA169">
        <f t="shared" si="79"/>
        <v>4.74</v>
      </c>
      <c r="DB169">
        <f t="shared" si="80"/>
        <v>3247.5</v>
      </c>
      <c r="DC169">
        <f t="shared" si="81"/>
        <v>0</v>
      </c>
      <c r="DD169" t="s">
        <v>3</v>
      </c>
      <c r="DE169" t="s">
        <v>3</v>
      </c>
      <c r="DF169">
        <f t="shared" si="82"/>
        <v>5233.72</v>
      </c>
      <c r="DG169">
        <f t="shared" si="83"/>
        <v>0</v>
      </c>
      <c r="DH169">
        <f t="shared" si="84"/>
        <v>0</v>
      </c>
      <c r="DI169">
        <f t="shared" si="56"/>
        <v>0</v>
      </c>
      <c r="DJ169">
        <f t="shared" si="85"/>
        <v>5233.72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ROW(Source!A147)</f>
        <v>147</v>
      </c>
      <c r="B170">
        <v>53860087</v>
      </c>
      <c r="C170">
        <v>53860662</v>
      </c>
      <c r="D170">
        <v>29555823</v>
      </c>
      <c r="E170">
        <v>1</v>
      </c>
      <c r="F170">
        <v>1</v>
      </c>
      <c r="G170">
        <v>29506949</v>
      </c>
      <c r="H170">
        <v>3</v>
      </c>
      <c r="I170" t="s">
        <v>366</v>
      </c>
      <c r="J170" t="s">
        <v>369</v>
      </c>
      <c r="K170" t="s">
        <v>367</v>
      </c>
      <c r="L170">
        <v>1356</v>
      </c>
      <c r="N170">
        <v>1010</v>
      </c>
      <c r="O170" t="s">
        <v>368</v>
      </c>
      <c r="P170" t="s">
        <v>368</v>
      </c>
      <c r="Q170">
        <v>1000</v>
      </c>
      <c r="W170">
        <v>0</v>
      </c>
      <c r="X170">
        <v>1704792949</v>
      </c>
      <c r="Y170">
        <f t="shared" si="76"/>
        <v>5</v>
      </c>
      <c r="AA170">
        <v>14666.76</v>
      </c>
      <c r="AB170">
        <v>0</v>
      </c>
      <c r="AC170">
        <v>0</v>
      </c>
      <c r="AD170">
        <v>0</v>
      </c>
      <c r="AE170">
        <v>1064.6600000000001</v>
      </c>
      <c r="AF170">
        <v>0</v>
      </c>
      <c r="AG170">
        <v>0</v>
      </c>
      <c r="AH170">
        <v>0</v>
      </c>
      <c r="AI170">
        <v>13.44</v>
      </c>
      <c r="AJ170">
        <v>1</v>
      </c>
      <c r="AK170">
        <v>1</v>
      </c>
      <c r="AL170">
        <v>1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 t="s">
        <v>3</v>
      </c>
      <c r="AT170">
        <v>5</v>
      </c>
      <c r="AU170" t="s">
        <v>3</v>
      </c>
      <c r="AV170">
        <v>0</v>
      </c>
      <c r="AW170">
        <v>1</v>
      </c>
      <c r="AX170">
        <v>-1</v>
      </c>
      <c r="AY170">
        <v>0</v>
      </c>
      <c r="AZ170">
        <v>0</v>
      </c>
      <c r="BA170" t="s">
        <v>3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ROUND(Y170*Source!I147,9)</f>
        <v>3</v>
      </c>
      <c r="CY170">
        <f t="shared" si="77"/>
        <v>14666.76</v>
      </c>
      <c r="CZ170">
        <f t="shared" si="78"/>
        <v>1064.6600000000001</v>
      </c>
      <c r="DA170">
        <f t="shared" si="79"/>
        <v>13.44</v>
      </c>
      <c r="DB170">
        <f t="shared" si="80"/>
        <v>5323.3</v>
      </c>
      <c r="DC170">
        <f t="shared" si="81"/>
        <v>0</v>
      </c>
      <c r="DD170" t="s">
        <v>3</v>
      </c>
      <c r="DE170" t="s">
        <v>3</v>
      </c>
      <c r="DF170">
        <f t="shared" si="82"/>
        <v>42927.09</v>
      </c>
      <c r="DG170">
        <f t="shared" si="83"/>
        <v>0</v>
      </c>
      <c r="DH170">
        <f t="shared" si="84"/>
        <v>0</v>
      </c>
      <c r="DI170">
        <f t="shared" si="56"/>
        <v>0</v>
      </c>
      <c r="DJ170">
        <f t="shared" si="85"/>
        <v>42927.09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ROW(Source!A147)</f>
        <v>147</v>
      </c>
      <c r="B171">
        <v>53860087</v>
      </c>
      <c r="C171">
        <v>53860662</v>
      </c>
      <c r="D171">
        <v>29574116</v>
      </c>
      <c r="E171">
        <v>1</v>
      </c>
      <c r="F171">
        <v>1</v>
      </c>
      <c r="G171">
        <v>29506949</v>
      </c>
      <c r="H171">
        <v>3</v>
      </c>
      <c r="I171" t="s">
        <v>78</v>
      </c>
      <c r="J171" t="s">
        <v>80</v>
      </c>
      <c r="K171" t="s">
        <v>265</v>
      </c>
      <c r="L171">
        <v>1339</v>
      </c>
      <c r="N171">
        <v>1007</v>
      </c>
      <c r="O171" t="s">
        <v>70</v>
      </c>
      <c r="P171" t="s">
        <v>70</v>
      </c>
      <c r="Q171">
        <v>1</v>
      </c>
      <c r="W171">
        <v>0</v>
      </c>
      <c r="X171">
        <v>1935795695</v>
      </c>
      <c r="Y171">
        <f t="shared" si="76"/>
        <v>2.2999999999999998</v>
      </c>
      <c r="AA171">
        <v>4655.8999999999996</v>
      </c>
      <c r="AB171">
        <v>0</v>
      </c>
      <c r="AC171">
        <v>0</v>
      </c>
      <c r="AD171">
        <v>0</v>
      </c>
      <c r="AE171">
        <v>481.69</v>
      </c>
      <c r="AF171">
        <v>0</v>
      </c>
      <c r="AG171">
        <v>0</v>
      </c>
      <c r="AH171">
        <v>0</v>
      </c>
      <c r="AI171">
        <v>9.43</v>
      </c>
      <c r="AJ171">
        <v>1</v>
      </c>
      <c r="AK171">
        <v>1</v>
      </c>
      <c r="AL171">
        <v>1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 t="s">
        <v>3</v>
      </c>
      <c r="AT171">
        <v>2.2999999999999998</v>
      </c>
      <c r="AU171" t="s">
        <v>3</v>
      </c>
      <c r="AV171">
        <v>0</v>
      </c>
      <c r="AW171">
        <v>1</v>
      </c>
      <c r="AX171">
        <v>-1</v>
      </c>
      <c r="AY171">
        <v>0</v>
      </c>
      <c r="AZ171">
        <v>0</v>
      </c>
      <c r="BA171" t="s">
        <v>3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V171">
        <v>0</v>
      </c>
      <c r="CW171">
        <v>0</v>
      </c>
      <c r="CX171">
        <f>ROUND(Y171*Source!I147,9)</f>
        <v>1.38</v>
      </c>
      <c r="CY171">
        <f t="shared" si="77"/>
        <v>4655.8999999999996</v>
      </c>
      <c r="CZ171">
        <f t="shared" si="78"/>
        <v>481.69</v>
      </c>
      <c r="DA171">
        <f t="shared" si="79"/>
        <v>9.43</v>
      </c>
      <c r="DB171">
        <f t="shared" si="80"/>
        <v>1107.8900000000001</v>
      </c>
      <c r="DC171">
        <f t="shared" si="81"/>
        <v>0</v>
      </c>
      <c r="DD171" t="s">
        <v>3</v>
      </c>
      <c r="DE171" t="s">
        <v>3</v>
      </c>
      <c r="DF171">
        <f t="shared" si="82"/>
        <v>6268.43</v>
      </c>
      <c r="DG171">
        <f t="shared" si="83"/>
        <v>0</v>
      </c>
      <c r="DH171">
        <f t="shared" si="84"/>
        <v>0</v>
      </c>
      <c r="DI171">
        <f t="shared" si="56"/>
        <v>0</v>
      </c>
      <c r="DJ171">
        <f t="shared" si="85"/>
        <v>6268.43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ROW(Source!A150)</f>
        <v>150</v>
      </c>
      <c r="B172">
        <v>53860087</v>
      </c>
      <c r="C172">
        <v>53860667</v>
      </c>
      <c r="D172">
        <v>29555598</v>
      </c>
      <c r="E172">
        <v>1</v>
      </c>
      <c r="F172">
        <v>1</v>
      </c>
      <c r="G172">
        <v>29506949</v>
      </c>
      <c r="H172">
        <v>3</v>
      </c>
      <c r="I172" t="s">
        <v>68</v>
      </c>
      <c r="J172" t="s">
        <v>71</v>
      </c>
      <c r="K172" t="s">
        <v>69</v>
      </c>
      <c r="L172">
        <v>1339</v>
      </c>
      <c r="N172">
        <v>1007</v>
      </c>
      <c r="O172" t="s">
        <v>70</v>
      </c>
      <c r="P172" t="s">
        <v>70</v>
      </c>
      <c r="Q172">
        <v>1</v>
      </c>
      <c r="W172">
        <v>0</v>
      </c>
      <c r="X172">
        <v>-862991314</v>
      </c>
      <c r="Y172">
        <f t="shared" si="76"/>
        <v>0.18228</v>
      </c>
      <c r="AA172">
        <v>42.42</v>
      </c>
      <c r="AB172">
        <v>0</v>
      </c>
      <c r="AC172">
        <v>0</v>
      </c>
      <c r="AD172">
        <v>0</v>
      </c>
      <c r="AE172">
        <v>7.07</v>
      </c>
      <c r="AF172">
        <v>0</v>
      </c>
      <c r="AG172">
        <v>0</v>
      </c>
      <c r="AH172">
        <v>0</v>
      </c>
      <c r="AI172">
        <v>6</v>
      </c>
      <c r="AJ172">
        <v>1</v>
      </c>
      <c r="AK172">
        <v>1</v>
      </c>
      <c r="AL172">
        <v>1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 t="s">
        <v>3</v>
      </c>
      <c r="AT172">
        <v>0.18228</v>
      </c>
      <c r="AU172" t="s">
        <v>3</v>
      </c>
      <c r="AV172">
        <v>0</v>
      </c>
      <c r="AW172">
        <v>1</v>
      </c>
      <c r="AX172">
        <v>-1</v>
      </c>
      <c r="AY172">
        <v>0</v>
      </c>
      <c r="AZ172">
        <v>0</v>
      </c>
      <c r="BA172" t="s">
        <v>3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V172">
        <v>0</v>
      </c>
      <c r="CW172">
        <v>0</v>
      </c>
      <c r="CX172">
        <f>ROUND(Y172*Source!I150,9)</f>
        <v>0.10936800000000001</v>
      </c>
      <c r="CY172">
        <f t="shared" si="77"/>
        <v>42.42</v>
      </c>
      <c r="CZ172">
        <f t="shared" si="78"/>
        <v>7.07</v>
      </c>
      <c r="DA172">
        <f t="shared" si="79"/>
        <v>6</v>
      </c>
      <c r="DB172">
        <f t="shared" si="80"/>
        <v>1.29</v>
      </c>
      <c r="DC172">
        <f t="shared" si="81"/>
        <v>0</v>
      </c>
      <c r="DD172" t="s">
        <v>3</v>
      </c>
      <c r="DE172" t="s">
        <v>3</v>
      </c>
      <c r="DF172">
        <f t="shared" si="82"/>
        <v>4.6399999999999997</v>
      </c>
      <c r="DG172">
        <f t="shared" si="83"/>
        <v>0</v>
      </c>
      <c r="DH172">
        <f t="shared" si="84"/>
        <v>0</v>
      </c>
      <c r="DI172">
        <f t="shared" si="56"/>
        <v>0</v>
      </c>
      <c r="DJ172">
        <f t="shared" si="85"/>
        <v>4.6399999999999997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ROW(Source!A150)</f>
        <v>150</v>
      </c>
      <c r="B173">
        <v>53860087</v>
      </c>
      <c r="C173">
        <v>53860667</v>
      </c>
      <c r="D173">
        <v>29574116</v>
      </c>
      <c r="E173">
        <v>1</v>
      </c>
      <c r="F173">
        <v>1</v>
      </c>
      <c r="G173">
        <v>29506949</v>
      </c>
      <c r="H173">
        <v>3</v>
      </c>
      <c r="I173" t="s">
        <v>78</v>
      </c>
      <c r="J173" t="s">
        <v>80</v>
      </c>
      <c r="K173" t="s">
        <v>265</v>
      </c>
      <c r="L173">
        <v>1339</v>
      </c>
      <c r="N173">
        <v>1007</v>
      </c>
      <c r="O173" t="s">
        <v>70</v>
      </c>
      <c r="P173" t="s">
        <v>70</v>
      </c>
      <c r="Q173">
        <v>1</v>
      </c>
      <c r="W173">
        <v>0</v>
      </c>
      <c r="X173">
        <v>1935795695</v>
      </c>
      <c r="Y173">
        <f t="shared" si="76"/>
        <v>2.6040000000000001</v>
      </c>
      <c r="AA173">
        <v>4542.34</v>
      </c>
      <c r="AB173">
        <v>0</v>
      </c>
      <c r="AC173">
        <v>0</v>
      </c>
      <c r="AD173">
        <v>0</v>
      </c>
      <c r="AE173">
        <v>481.69</v>
      </c>
      <c r="AF173">
        <v>0</v>
      </c>
      <c r="AG173">
        <v>0</v>
      </c>
      <c r="AH173">
        <v>0</v>
      </c>
      <c r="AI173">
        <v>9.43</v>
      </c>
      <c r="AJ173">
        <v>1</v>
      </c>
      <c r="AK173">
        <v>1</v>
      </c>
      <c r="AL173">
        <v>1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 t="s">
        <v>3</v>
      </c>
      <c r="AT173">
        <v>2.6040000000000001</v>
      </c>
      <c r="AU173" t="s">
        <v>3</v>
      </c>
      <c r="AV173">
        <v>0</v>
      </c>
      <c r="AW173">
        <v>1</v>
      </c>
      <c r="AX173">
        <v>-1</v>
      </c>
      <c r="AY173">
        <v>0</v>
      </c>
      <c r="AZ173">
        <v>0</v>
      </c>
      <c r="BA173" t="s">
        <v>3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v>0</v>
      </c>
      <c r="CX173">
        <f>ROUND(Y173*Source!I150,9)</f>
        <v>1.5624</v>
      </c>
      <c r="CY173">
        <f t="shared" si="77"/>
        <v>4542.34</v>
      </c>
      <c r="CZ173">
        <f t="shared" si="78"/>
        <v>481.69</v>
      </c>
      <c r="DA173">
        <f t="shared" si="79"/>
        <v>9.43</v>
      </c>
      <c r="DB173">
        <f t="shared" si="80"/>
        <v>1254.32</v>
      </c>
      <c r="DC173">
        <f t="shared" si="81"/>
        <v>0</v>
      </c>
      <c r="DD173" t="s">
        <v>3</v>
      </c>
      <c r="DE173" t="s">
        <v>3</v>
      </c>
      <c r="DF173">
        <f t="shared" si="82"/>
        <v>7096.95</v>
      </c>
      <c r="DG173">
        <f t="shared" si="83"/>
        <v>0</v>
      </c>
      <c r="DH173">
        <f t="shared" si="84"/>
        <v>0</v>
      </c>
      <c r="DI173">
        <f t="shared" si="56"/>
        <v>0</v>
      </c>
      <c r="DJ173">
        <f t="shared" si="85"/>
        <v>7096.95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ROW(Source!A150)</f>
        <v>150</v>
      </c>
      <c r="B174">
        <v>53860087</v>
      </c>
      <c r="C174">
        <v>53860667</v>
      </c>
      <c r="D174">
        <v>29574131</v>
      </c>
      <c r="E174">
        <v>1</v>
      </c>
      <c r="F174">
        <v>1</v>
      </c>
      <c r="G174">
        <v>29506949</v>
      </c>
      <c r="H174">
        <v>3</v>
      </c>
      <c r="I174" t="s">
        <v>73</v>
      </c>
      <c r="J174" t="s">
        <v>76</v>
      </c>
      <c r="K174" t="s">
        <v>263</v>
      </c>
      <c r="L174">
        <v>1348</v>
      </c>
      <c r="N174">
        <v>1009</v>
      </c>
      <c r="O174" t="s">
        <v>75</v>
      </c>
      <c r="P174" t="s">
        <v>75</v>
      </c>
      <c r="Q174">
        <v>1000</v>
      </c>
      <c r="W174">
        <v>0</v>
      </c>
      <c r="X174">
        <v>-1764562027</v>
      </c>
      <c r="Y174">
        <f t="shared" si="76"/>
        <v>1.0416000000000001</v>
      </c>
      <c r="AA174">
        <v>11185.3</v>
      </c>
      <c r="AB174">
        <v>0</v>
      </c>
      <c r="AC174">
        <v>0</v>
      </c>
      <c r="AD174">
        <v>0</v>
      </c>
      <c r="AE174">
        <v>1517.68</v>
      </c>
      <c r="AF174">
        <v>0</v>
      </c>
      <c r="AG174">
        <v>0</v>
      </c>
      <c r="AH174">
        <v>0</v>
      </c>
      <c r="AI174">
        <v>7.37</v>
      </c>
      <c r="AJ174">
        <v>1</v>
      </c>
      <c r="AK174">
        <v>1</v>
      </c>
      <c r="AL174">
        <v>1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 t="s">
        <v>3</v>
      </c>
      <c r="AT174">
        <v>1.0416000000000001</v>
      </c>
      <c r="AU174" t="s">
        <v>3</v>
      </c>
      <c r="AV174">
        <v>0</v>
      </c>
      <c r="AW174">
        <v>1</v>
      </c>
      <c r="AX174">
        <v>-1</v>
      </c>
      <c r="AY174">
        <v>0</v>
      </c>
      <c r="AZ174">
        <v>0</v>
      </c>
      <c r="BA174" t="s">
        <v>3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V174">
        <v>0</v>
      </c>
      <c r="CW174">
        <v>0</v>
      </c>
      <c r="CX174">
        <f>ROUND(Y174*Source!I150,9)</f>
        <v>0.62495999999999996</v>
      </c>
      <c r="CY174">
        <f t="shared" si="77"/>
        <v>11185.3</v>
      </c>
      <c r="CZ174">
        <f t="shared" si="78"/>
        <v>1517.68</v>
      </c>
      <c r="DA174">
        <f t="shared" si="79"/>
        <v>7.37</v>
      </c>
      <c r="DB174">
        <f t="shared" si="80"/>
        <v>1580.82</v>
      </c>
      <c r="DC174">
        <f t="shared" si="81"/>
        <v>0</v>
      </c>
      <c r="DD174" t="s">
        <v>3</v>
      </c>
      <c r="DE174" t="s">
        <v>3</v>
      </c>
      <c r="DF174">
        <f t="shared" si="82"/>
        <v>6990.37</v>
      </c>
      <c r="DG174">
        <f t="shared" si="83"/>
        <v>0</v>
      </c>
      <c r="DH174">
        <f t="shared" si="84"/>
        <v>0</v>
      </c>
      <c r="DI174">
        <f t="shared" si="56"/>
        <v>0</v>
      </c>
      <c r="DJ174">
        <f t="shared" si="85"/>
        <v>6990.37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ROW(Source!A154)</f>
        <v>154</v>
      </c>
      <c r="B175">
        <v>53860087</v>
      </c>
      <c r="C175">
        <v>53860674</v>
      </c>
      <c r="D175">
        <v>29506954</v>
      </c>
      <c r="E175">
        <v>29506949</v>
      </c>
      <c r="F175">
        <v>1</v>
      </c>
      <c r="G175">
        <v>29506949</v>
      </c>
      <c r="H175">
        <v>1</v>
      </c>
      <c r="I175" t="s">
        <v>638</v>
      </c>
      <c r="J175" t="s">
        <v>3</v>
      </c>
      <c r="K175" t="s">
        <v>639</v>
      </c>
      <c r="L175">
        <v>1191</v>
      </c>
      <c r="N175">
        <v>1013</v>
      </c>
      <c r="O175" t="s">
        <v>640</v>
      </c>
      <c r="P175" t="s">
        <v>640</v>
      </c>
      <c r="Q175">
        <v>1</v>
      </c>
      <c r="W175">
        <v>0</v>
      </c>
      <c r="X175">
        <v>476480486</v>
      </c>
      <c r="Y175">
        <f>(AT175*1.15)</f>
        <v>50.094000000000001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43.56</v>
      </c>
      <c r="AU175" t="s">
        <v>52</v>
      </c>
      <c r="AV175">
        <v>1</v>
      </c>
      <c r="AW175">
        <v>2</v>
      </c>
      <c r="AX175">
        <v>53861303</v>
      </c>
      <c r="AY175">
        <v>1</v>
      </c>
      <c r="AZ175">
        <v>0</v>
      </c>
      <c r="BA175">
        <v>282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U175">
        <f>ROUND(AT175*Source!I154*AH175*AL175,2)</f>
        <v>0</v>
      </c>
      <c r="CV175">
        <f>ROUND(Y175*Source!I154,9)</f>
        <v>30.0564</v>
      </c>
      <c r="CW175">
        <v>0</v>
      </c>
      <c r="CX175">
        <f>ROUND(Y175*Source!I154,9)</f>
        <v>30.0564</v>
      </c>
      <c r="CY175">
        <f>AD175</f>
        <v>0</v>
      </c>
      <c r="CZ175">
        <f>AH175</f>
        <v>0</v>
      </c>
      <c r="DA175">
        <f>AL175</f>
        <v>1</v>
      </c>
      <c r="DB175">
        <f>ROUND((ROUND(AT175*CZ175,2)*1.15),6)</f>
        <v>0</v>
      </c>
      <c r="DC175">
        <f>ROUND((ROUND(AT175*AG175,2)*1.15),6)</f>
        <v>0</v>
      </c>
      <c r="DD175" t="s">
        <v>3</v>
      </c>
      <c r="DE175" t="s">
        <v>3</v>
      </c>
      <c r="DF175">
        <f>ROUND(ROUND(AE175,2)*CX175,2)</f>
        <v>0</v>
      </c>
      <c r="DG175">
        <f t="shared" si="83"/>
        <v>0</v>
      </c>
      <c r="DH175">
        <f t="shared" si="84"/>
        <v>0</v>
      </c>
      <c r="DI175">
        <f t="shared" si="56"/>
        <v>0</v>
      </c>
      <c r="DJ175">
        <f>DI175</f>
        <v>0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ROW(Source!A154)</f>
        <v>154</v>
      </c>
      <c r="B176">
        <v>53860087</v>
      </c>
      <c r="C176">
        <v>53860674</v>
      </c>
      <c r="D176">
        <v>29580491</v>
      </c>
      <c r="E176">
        <v>1</v>
      </c>
      <c r="F176">
        <v>1</v>
      </c>
      <c r="G176">
        <v>29506949</v>
      </c>
      <c r="H176">
        <v>2</v>
      </c>
      <c r="I176" t="s">
        <v>650</v>
      </c>
      <c r="J176" t="s">
        <v>651</v>
      </c>
      <c r="K176" t="s">
        <v>652</v>
      </c>
      <c r="L176">
        <v>1368</v>
      </c>
      <c r="N176">
        <v>1011</v>
      </c>
      <c r="O176" t="s">
        <v>647</v>
      </c>
      <c r="P176" t="s">
        <v>647</v>
      </c>
      <c r="Q176">
        <v>1</v>
      </c>
      <c r="W176">
        <v>0</v>
      </c>
      <c r="X176">
        <v>-1440889904</v>
      </c>
      <c r="Y176">
        <f>(AT176*1.25)</f>
        <v>0.1875</v>
      </c>
      <c r="AA176">
        <v>0</v>
      </c>
      <c r="AB176">
        <v>1029.8</v>
      </c>
      <c r="AC176">
        <v>389.36</v>
      </c>
      <c r="AD176">
        <v>0</v>
      </c>
      <c r="AE176">
        <v>0</v>
      </c>
      <c r="AF176">
        <v>83.1</v>
      </c>
      <c r="AG176">
        <v>12.62</v>
      </c>
      <c r="AH176">
        <v>0</v>
      </c>
      <c r="AI176">
        <v>1</v>
      </c>
      <c r="AJ176">
        <v>12.09</v>
      </c>
      <c r="AK176">
        <v>30.1</v>
      </c>
      <c r="AL176">
        <v>1</v>
      </c>
      <c r="AM176">
        <v>2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0.15</v>
      </c>
      <c r="AU176" t="s">
        <v>51</v>
      </c>
      <c r="AV176">
        <v>0</v>
      </c>
      <c r="AW176">
        <v>2</v>
      </c>
      <c r="AX176">
        <v>53861304</v>
      </c>
      <c r="AY176">
        <v>1</v>
      </c>
      <c r="AZ176">
        <v>0</v>
      </c>
      <c r="BA176">
        <v>283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V176">
        <v>0</v>
      </c>
      <c r="CW176">
        <f>ROUND(Y176*Source!I154,9)</f>
        <v>0.1125</v>
      </c>
      <c r="CX176">
        <f>ROUND(Y176*Source!I154,9)</f>
        <v>0.1125</v>
      </c>
      <c r="CY176">
        <f>AB176</f>
        <v>1029.8</v>
      </c>
      <c r="CZ176">
        <f>AF176</f>
        <v>83.1</v>
      </c>
      <c r="DA176">
        <f>AJ176</f>
        <v>12.09</v>
      </c>
      <c r="DB176">
        <f>ROUND((ROUND(AT176*CZ176,2)*1.25),6)</f>
        <v>15.5875</v>
      </c>
      <c r="DC176">
        <f>ROUND((ROUND(AT176*AG176,2)*1.25),6)</f>
        <v>2.3624999999999998</v>
      </c>
      <c r="DD176" t="s">
        <v>3</v>
      </c>
      <c r="DE176" t="s">
        <v>3</v>
      </c>
      <c r="DF176">
        <f>ROUND(ROUND(AE176,2)*CX176,2)</f>
        <v>0</v>
      </c>
      <c r="DG176">
        <f>ROUND(ROUND(AF176*AJ176,2)*CX176,2)</f>
        <v>113.03</v>
      </c>
      <c r="DH176">
        <f>ROUND(ROUND(AG176*AK176,2)*CX176,2)</f>
        <v>42.73</v>
      </c>
      <c r="DI176">
        <f t="shared" si="56"/>
        <v>0</v>
      </c>
      <c r="DJ176">
        <f>DG176</f>
        <v>113.03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ROW(Source!A154)</f>
        <v>154</v>
      </c>
      <c r="B177">
        <v>53860087</v>
      </c>
      <c r="C177">
        <v>53860674</v>
      </c>
      <c r="D177">
        <v>29555595</v>
      </c>
      <c r="E177">
        <v>1</v>
      </c>
      <c r="F177">
        <v>1</v>
      </c>
      <c r="G177">
        <v>29506949</v>
      </c>
      <c r="H177">
        <v>3</v>
      </c>
      <c r="I177" t="s">
        <v>656</v>
      </c>
      <c r="J177" t="s">
        <v>657</v>
      </c>
      <c r="K177" t="s">
        <v>658</v>
      </c>
      <c r="L177">
        <v>1346</v>
      </c>
      <c r="N177">
        <v>1009</v>
      </c>
      <c r="O177" t="s">
        <v>58</v>
      </c>
      <c r="P177" t="s">
        <v>58</v>
      </c>
      <c r="Q177">
        <v>1</v>
      </c>
      <c r="W177">
        <v>0</v>
      </c>
      <c r="X177">
        <v>622621594</v>
      </c>
      <c r="Y177">
        <f t="shared" ref="Y177:Y189" si="86">AT177</f>
        <v>0.31</v>
      </c>
      <c r="AA177">
        <v>53.55</v>
      </c>
      <c r="AB177">
        <v>0</v>
      </c>
      <c r="AC177">
        <v>0</v>
      </c>
      <c r="AD177">
        <v>0</v>
      </c>
      <c r="AE177">
        <v>1.61</v>
      </c>
      <c r="AF177">
        <v>0</v>
      </c>
      <c r="AG177">
        <v>0</v>
      </c>
      <c r="AH177">
        <v>0</v>
      </c>
      <c r="AI177">
        <v>33.26</v>
      </c>
      <c r="AJ177">
        <v>1</v>
      </c>
      <c r="AK177">
        <v>1</v>
      </c>
      <c r="AL177">
        <v>1</v>
      </c>
      <c r="AM177">
        <v>2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0.31</v>
      </c>
      <c r="AU177" t="s">
        <v>3</v>
      </c>
      <c r="AV177">
        <v>0</v>
      </c>
      <c r="AW177">
        <v>2</v>
      </c>
      <c r="AX177">
        <v>53861305</v>
      </c>
      <c r="AY177">
        <v>1</v>
      </c>
      <c r="AZ177">
        <v>0</v>
      </c>
      <c r="BA177">
        <v>284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V177">
        <v>0</v>
      </c>
      <c r="CW177">
        <v>0</v>
      </c>
      <c r="CX177">
        <f>ROUND(Y177*Source!I154,9)</f>
        <v>0.186</v>
      </c>
      <c r="CY177">
        <f>AA177</f>
        <v>53.55</v>
      </c>
      <c r="CZ177">
        <f>AE177</f>
        <v>1.61</v>
      </c>
      <c r="DA177">
        <f>AI177</f>
        <v>33.26</v>
      </c>
      <c r="DB177">
        <f t="shared" ref="DB177:DB189" si="87">ROUND(ROUND(AT177*CZ177,2),6)</f>
        <v>0.5</v>
      </c>
      <c r="DC177">
        <f t="shared" ref="DC177:DC189" si="88">ROUND(ROUND(AT177*AG177,2),6)</f>
        <v>0</v>
      </c>
      <c r="DD177" t="s">
        <v>3</v>
      </c>
      <c r="DE177" t="s">
        <v>3</v>
      </c>
      <c r="DF177">
        <f>ROUND(ROUND(AE177*AI177,2)*CX177,2)</f>
        <v>9.9600000000000009</v>
      </c>
      <c r="DG177">
        <f t="shared" ref="DG177:DG186" si="89">ROUND(ROUND(AF177,2)*CX177,2)</f>
        <v>0</v>
      </c>
      <c r="DH177">
        <f t="shared" ref="DH177:DH186" si="90">ROUND(ROUND(AG177,2)*CX177,2)</f>
        <v>0</v>
      </c>
      <c r="DI177">
        <f t="shared" si="56"/>
        <v>0</v>
      </c>
      <c r="DJ177">
        <f>DF177</f>
        <v>9.9600000000000009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ROW(Source!A154)</f>
        <v>154</v>
      </c>
      <c r="B178">
        <v>53860087</v>
      </c>
      <c r="C178">
        <v>53860674</v>
      </c>
      <c r="D178">
        <v>29556811</v>
      </c>
      <c r="E178">
        <v>1</v>
      </c>
      <c r="F178">
        <v>1</v>
      </c>
      <c r="G178">
        <v>29506949</v>
      </c>
      <c r="H178">
        <v>3</v>
      </c>
      <c r="I178" t="s">
        <v>659</v>
      </c>
      <c r="J178" t="s">
        <v>660</v>
      </c>
      <c r="K178" t="s">
        <v>661</v>
      </c>
      <c r="L178">
        <v>1327</v>
      </c>
      <c r="N178">
        <v>1005</v>
      </c>
      <c r="O178" t="s">
        <v>100</v>
      </c>
      <c r="P178" t="s">
        <v>100</v>
      </c>
      <c r="Q178">
        <v>1</v>
      </c>
      <c r="W178">
        <v>0</v>
      </c>
      <c r="X178">
        <v>1579706749</v>
      </c>
      <c r="Y178">
        <f t="shared" si="86"/>
        <v>0.84</v>
      </c>
      <c r="AA178">
        <v>151.84</v>
      </c>
      <c r="AB178">
        <v>0</v>
      </c>
      <c r="AC178">
        <v>0</v>
      </c>
      <c r="AD178">
        <v>0</v>
      </c>
      <c r="AE178">
        <v>104</v>
      </c>
      <c r="AF178">
        <v>0</v>
      </c>
      <c r="AG178">
        <v>0</v>
      </c>
      <c r="AH178">
        <v>0</v>
      </c>
      <c r="AI178">
        <v>1.46</v>
      </c>
      <c r="AJ178">
        <v>1</v>
      </c>
      <c r="AK178">
        <v>1</v>
      </c>
      <c r="AL178">
        <v>1</v>
      </c>
      <c r="AM178">
        <v>2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0.84</v>
      </c>
      <c r="AU178" t="s">
        <v>3</v>
      </c>
      <c r="AV178">
        <v>0</v>
      </c>
      <c r="AW178">
        <v>2</v>
      </c>
      <c r="AX178">
        <v>53861306</v>
      </c>
      <c r="AY178">
        <v>1</v>
      </c>
      <c r="AZ178">
        <v>0</v>
      </c>
      <c r="BA178">
        <v>285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v>0</v>
      </c>
      <c r="CX178">
        <f>ROUND(Y178*Source!I154,9)</f>
        <v>0.504</v>
      </c>
      <c r="CY178">
        <f>AA178</f>
        <v>151.84</v>
      </c>
      <c r="CZ178">
        <f>AE178</f>
        <v>104</v>
      </c>
      <c r="DA178">
        <f>AI178</f>
        <v>1.46</v>
      </c>
      <c r="DB178">
        <f t="shared" si="87"/>
        <v>87.36</v>
      </c>
      <c r="DC178">
        <f t="shared" si="88"/>
        <v>0</v>
      </c>
      <c r="DD178" t="s">
        <v>3</v>
      </c>
      <c r="DE178" t="s">
        <v>3</v>
      </c>
      <c r="DF178">
        <f>ROUND(ROUND(AE178*AI178,2)*CX178,2)</f>
        <v>76.53</v>
      </c>
      <c r="DG178">
        <f t="shared" si="89"/>
        <v>0</v>
      </c>
      <c r="DH178">
        <f t="shared" si="90"/>
        <v>0</v>
      </c>
      <c r="DI178">
        <f t="shared" si="56"/>
        <v>0</v>
      </c>
      <c r="DJ178">
        <f>DF178</f>
        <v>76.53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ROW(Source!A154)</f>
        <v>154</v>
      </c>
      <c r="B179">
        <v>53860087</v>
      </c>
      <c r="C179">
        <v>53860674</v>
      </c>
      <c r="D179">
        <v>29556824</v>
      </c>
      <c r="E179">
        <v>1</v>
      </c>
      <c r="F179">
        <v>1</v>
      </c>
      <c r="G179">
        <v>29506949</v>
      </c>
      <c r="H179">
        <v>3</v>
      </c>
      <c r="I179" t="s">
        <v>662</v>
      </c>
      <c r="J179" t="s">
        <v>663</v>
      </c>
      <c r="K179" t="s">
        <v>664</v>
      </c>
      <c r="L179">
        <v>1348</v>
      </c>
      <c r="N179">
        <v>1009</v>
      </c>
      <c r="O179" t="s">
        <v>75</v>
      </c>
      <c r="P179" t="s">
        <v>75</v>
      </c>
      <c r="Q179">
        <v>1000</v>
      </c>
      <c r="W179">
        <v>0</v>
      </c>
      <c r="X179">
        <v>580281819</v>
      </c>
      <c r="Y179">
        <f t="shared" si="86"/>
        <v>5.0999999999999997E-2</v>
      </c>
      <c r="AA179">
        <v>44232.91</v>
      </c>
      <c r="AB179">
        <v>0</v>
      </c>
      <c r="AC179">
        <v>0</v>
      </c>
      <c r="AD179">
        <v>0</v>
      </c>
      <c r="AE179">
        <v>13953.6</v>
      </c>
      <c r="AF179">
        <v>0</v>
      </c>
      <c r="AG179">
        <v>0</v>
      </c>
      <c r="AH179">
        <v>0</v>
      </c>
      <c r="AI179">
        <v>3.17</v>
      </c>
      <c r="AJ179">
        <v>1</v>
      </c>
      <c r="AK179">
        <v>1</v>
      </c>
      <c r="AL179">
        <v>1</v>
      </c>
      <c r="AM179">
        <v>2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5.0999999999999997E-2</v>
      </c>
      <c r="AU179" t="s">
        <v>3</v>
      </c>
      <c r="AV179">
        <v>0</v>
      </c>
      <c r="AW179">
        <v>2</v>
      </c>
      <c r="AX179">
        <v>53861307</v>
      </c>
      <c r="AY179">
        <v>1</v>
      </c>
      <c r="AZ179">
        <v>0</v>
      </c>
      <c r="BA179">
        <v>286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V179">
        <v>0</v>
      </c>
      <c r="CW179">
        <v>0</v>
      </c>
      <c r="CX179">
        <f>ROUND(Y179*Source!I154,9)</f>
        <v>3.0599999999999999E-2</v>
      </c>
      <c r="CY179">
        <f>AA179</f>
        <v>44232.91</v>
      </c>
      <c r="CZ179">
        <f>AE179</f>
        <v>13953.6</v>
      </c>
      <c r="DA179">
        <f>AI179</f>
        <v>3.17</v>
      </c>
      <c r="DB179">
        <f t="shared" si="87"/>
        <v>711.63</v>
      </c>
      <c r="DC179">
        <f t="shared" si="88"/>
        <v>0</v>
      </c>
      <c r="DD179" t="s">
        <v>3</v>
      </c>
      <c r="DE179" t="s">
        <v>3</v>
      </c>
      <c r="DF179">
        <f>ROUND(ROUND(AE179*AI179,2)*CX179,2)</f>
        <v>1353.53</v>
      </c>
      <c r="DG179">
        <f t="shared" si="89"/>
        <v>0</v>
      </c>
      <c r="DH179">
        <f t="shared" si="90"/>
        <v>0</v>
      </c>
      <c r="DI179">
        <f t="shared" si="56"/>
        <v>0</v>
      </c>
      <c r="DJ179">
        <f>DF179</f>
        <v>1353.53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ROW(Source!A154)</f>
        <v>154</v>
      </c>
      <c r="B180">
        <v>53860087</v>
      </c>
      <c r="C180">
        <v>53860674</v>
      </c>
      <c r="D180">
        <v>29557964</v>
      </c>
      <c r="E180">
        <v>1</v>
      </c>
      <c r="F180">
        <v>1</v>
      </c>
      <c r="G180">
        <v>29506949</v>
      </c>
      <c r="H180">
        <v>3</v>
      </c>
      <c r="I180" t="s">
        <v>56</v>
      </c>
      <c r="J180" t="s">
        <v>59</v>
      </c>
      <c r="K180" t="s">
        <v>57</v>
      </c>
      <c r="L180">
        <v>1346</v>
      </c>
      <c r="N180">
        <v>1009</v>
      </c>
      <c r="O180" t="s">
        <v>58</v>
      </c>
      <c r="P180" t="s">
        <v>58</v>
      </c>
      <c r="Q180">
        <v>1</v>
      </c>
      <c r="W180">
        <v>0</v>
      </c>
      <c r="X180">
        <v>33071459</v>
      </c>
      <c r="Y180">
        <f t="shared" si="86"/>
        <v>20</v>
      </c>
      <c r="AA180">
        <v>103.75</v>
      </c>
      <c r="AB180">
        <v>0</v>
      </c>
      <c r="AC180">
        <v>0</v>
      </c>
      <c r="AD180">
        <v>0</v>
      </c>
      <c r="AE180">
        <v>28.98</v>
      </c>
      <c r="AF180">
        <v>0</v>
      </c>
      <c r="AG180">
        <v>0</v>
      </c>
      <c r="AH180">
        <v>0</v>
      </c>
      <c r="AI180">
        <v>3.58</v>
      </c>
      <c r="AJ180">
        <v>1</v>
      </c>
      <c r="AK180">
        <v>1</v>
      </c>
      <c r="AL180">
        <v>1</v>
      </c>
      <c r="AM180">
        <v>0</v>
      </c>
      <c r="AN180">
        <v>0</v>
      </c>
      <c r="AO180">
        <v>0</v>
      </c>
      <c r="AP180">
        <v>1</v>
      </c>
      <c r="AQ180">
        <v>0</v>
      </c>
      <c r="AR180">
        <v>0</v>
      </c>
      <c r="AS180" t="s">
        <v>3</v>
      </c>
      <c r="AT180">
        <v>20</v>
      </c>
      <c r="AU180" t="s">
        <v>3</v>
      </c>
      <c r="AV180">
        <v>0</v>
      </c>
      <c r="AW180">
        <v>1</v>
      </c>
      <c r="AX180">
        <v>-1</v>
      </c>
      <c r="AY180">
        <v>0</v>
      </c>
      <c r="AZ180">
        <v>0</v>
      </c>
      <c r="BA180" t="s">
        <v>3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V180">
        <v>0</v>
      </c>
      <c r="CW180">
        <v>0</v>
      </c>
      <c r="CX180">
        <f>ROUND(Y180*Source!I154,9)</f>
        <v>12</v>
      </c>
      <c r="CY180">
        <f>AA180</f>
        <v>103.75</v>
      </c>
      <c r="CZ180">
        <f>AE180</f>
        <v>28.98</v>
      </c>
      <c r="DA180">
        <f>AI180</f>
        <v>3.58</v>
      </c>
      <c r="DB180">
        <f t="shared" si="87"/>
        <v>579.6</v>
      </c>
      <c r="DC180">
        <f t="shared" si="88"/>
        <v>0</v>
      </c>
      <c r="DD180" t="s">
        <v>3</v>
      </c>
      <c r="DE180" t="s">
        <v>3</v>
      </c>
      <c r="DF180">
        <f>ROUND(ROUND(AE180*AI180,2)*CX180,2)</f>
        <v>1245</v>
      </c>
      <c r="DG180">
        <f t="shared" si="89"/>
        <v>0</v>
      </c>
      <c r="DH180">
        <f t="shared" si="90"/>
        <v>0</v>
      </c>
      <c r="DI180">
        <f t="shared" si="56"/>
        <v>0</v>
      </c>
      <c r="DJ180">
        <f>DF180</f>
        <v>1245</v>
      </c>
      <c r="DK180">
        <v>0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ROW(Source!A154)</f>
        <v>154</v>
      </c>
      <c r="B181">
        <v>53860087</v>
      </c>
      <c r="C181">
        <v>53860674</v>
      </c>
      <c r="D181">
        <v>29558996</v>
      </c>
      <c r="E181">
        <v>1</v>
      </c>
      <c r="F181">
        <v>1</v>
      </c>
      <c r="G181">
        <v>29506949</v>
      </c>
      <c r="H181">
        <v>3</v>
      </c>
      <c r="I181" t="s">
        <v>89</v>
      </c>
      <c r="J181" t="s">
        <v>90</v>
      </c>
      <c r="K181" t="s">
        <v>976</v>
      </c>
      <c r="L181">
        <v>1346</v>
      </c>
      <c r="N181">
        <v>1009</v>
      </c>
      <c r="O181" t="s">
        <v>58</v>
      </c>
      <c r="P181" t="s">
        <v>58</v>
      </c>
      <c r="Q181">
        <v>1</v>
      </c>
      <c r="W181">
        <v>0</v>
      </c>
      <c r="X181">
        <v>-1515598087</v>
      </c>
      <c r="Y181">
        <f t="shared" si="86"/>
        <v>30</v>
      </c>
      <c r="AA181">
        <v>513.11</v>
      </c>
      <c r="AB181">
        <v>0</v>
      </c>
      <c r="AC181">
        <v>0</v>
      </c>
      <c r="AD181">
        <v>0</v>
      </c>
      <c r="AE181">
        <v>108.25</v>
      </c>
      <c r="AF181">
        <v>0</v>
      </c>
      <c r="AG181">
        <v>0</v>
      </c>
      <c r="AH181">
        <v>0</v>
      </c>
      <c r="AI181">
        <v>4.74</v>
      </c>
      <c r="AJ181">
        <v>1</v>
      </c>
      <c r="AK181">
        <v>1</v>
      </c>
      <c r="AL181">
        <v>1</v>
      </c>
      <c r="AM181">
        <v>0</v>
      </c>
      <c r="AN181">
        <v>0</v>
      </c>
      <c r="AO181">
        <v>0</v>
      </c>
      <c r="AP181">
        <v>1</v>
      </c>
      <c r="AQ181">
        <v>0</v>
      </c>
      <c r="AR181">
        <v>0</v>
      </c>
      <c r="AS181" t="s">
        <v>3</v>
      </c>
      <c r="AT181">
        <v>30</v>
      </c>
      <c r="AU181" t="s">
        <v>3</v>
      </c>
      <c r="AV181">
        <v>0</v>
      </c>
      <c r="AW181">
        <v>1</v>
      </c>
      <c r="AX181">
        <v>-1</v>
      </c>
      <c r="AY181">
        <v>0</v>
      </c>
      <c r="AZ181">
        <v>0</v>
      </c>
      <c r="BA181" t="s">
        <v>3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V181">
        <v>0</v>
      </c>
      <c r="CW181">
        <v>0</v>
      </c>
      <c r="CX181">
        <f>ROUND(Y181*Source!I154,9)</f>
        <v>18</v>
      </c>
      <c r="CY181">
        <f>AA181</f>
        <v>513.11</v>
      </c>
      <c r="CZ181">
        <f>AE181</f>
        <v>108.25</v>
      </c>
      <c r="DA181">
        <f>AI181</f>
        <v>4.74</v>
      </c>
      <c r="DB181">
        <f t="shared" si="87"/>
        <v>3247.5</v>
      </c>
      <c r="DC181">
        <f t="shared" si="88"/>
        <v>0</v>
      </c>
      <c r="DD181" t="s">
        <v>3</v>
      </c>
      <c r="DE181" t="s">
        <v>3</v>
      </c>
      <c r="DF181">
        <f>ROUND(ROUND(AE181*AI181,2)*CX181,2)</f>
        <v>9235.98</v>
      </c>
      <c r="DG181">
        <f t="shared" si="89"/>
        <v>0</v>
      </c>
      <c r="DH181">
        <f t="shared" si="90"/>
        <v>0</v>
      </c>
      <c r="DI181">
        <f t="shared" si="56"/>
        <v>0</v>
      </c>
      <c r="DJ181">
        <f>DF181</f>
        <v>9235.98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ROW(Source!A193)</f>
        <v>193</v>
      </c>
      <c r="B182">
        <v>53860087</v>
      </c>
      <c r="C182">
        <v>53860748</v>
      </c>
      <c r="D182">
        <v>29506954</v>
      </c>
      <c r="E182">
        <v>29506949</v>
      </c>
      <c r="F182">
        <v>1</v>
      </c>
      <c r="G182">
        <v>29506949</v>
      </c>
      <c r="H182">
        <v>1</v>
      </c>
      <c r="I182" t="s">
        <v>638</v>
      </c>
      <c r="J182" t="s">
        <v>3</v>
      </c>
      <c r="K182" t="s">
        <v>639</v>
      </c>
      <c r="L182">
        <v>1191</v>
      </c>
      <c r="N182">
        <v>1013</v>
      </c>
      <c r="O182" t="s">
        <v>640</v>
      </c>
      <c r="P182" t="s">
        <v>640</v>
      </c>
      <c r="Q182">
        <v>1</v>
      </c>
      <c r="W182">
        <v>0</v>
      </c>
      <c r="X182">
        <v>476480486</v>
      </c>
      <c r="Y182">
        <f t="shared" si="86"/>
        <v>11.39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11.39</v>
      </c>
      <c r="AU182" t="s">
        <v>3</v>
      </c>
      <c r="AV182">
        <v>1</v>
      </c>
      <c r="AW182">
        <v>2</v>
      </c>
      <c r="AX182">
        <v>53861310</v>
      </c>
      <c r="AY182">
        <v>1</v>
      </c>
      <c r="AZ182">
        <v>0</v>
      </c>
      <c r="BA182">
        <v>289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U182">
        <f>ROUND(AT182*Source!I193*AH182*AL182,2)</f>
        <v>0</v>
      </c>
      <c r="CV182">
        <f>ROUND(Y182*Source!I193,9)</f>
        <v>13.667999999999999</v>
      </c>
      <c r="CW182">
        <v>0</v>
      </c>
      <c r="CX182">
        <f>ROUND(Y182*Source!I193,9)</f>
        <v>13.667999999999999</v>
      </c>
      <c r="CY182">
        <f>AD182</f>
        <v>0</v>
      </c>
      <c r="CZ182">
        <f>AH182</f>
        <v>0</v>
      </c>
      <c r="DA182">
        <f>AL182</f>
        <v>1</v>
      </c>
      <c r="DB182">
        <f t="shared" si="87"/>
        <v>0</v>
      </c>
      <c r="DC182">
        <f t="shared" si="88"/>
        <v>0</v>
      </c>
      <c r="DD182" t="s">
        <v>3</v>
      </c>
      <c r="DE182" t="s">
        <v>3</v>
      </c>
      <c r="DF182">
        <f t="shared" ref="DF182:DF193" si="91">ROUND(ROUND(AE182,2)*CX182,2)</f>
        <v>0</v>
      </c>
      <c r="DG182">
        <f t="shared" si="89"/>
        <v>0</v>
      </c>
      <c r="DH182">
        <f t="shared" si="90"/>
        <v>0</v>
      </c>
      <c r="DI182">
        <f t="shared" si="56"/>
        <v>0</v>
      </c>
      <c r="DJ182">
        <f>DI182</f>
        <v>0</v>
      </c>
      <c r="DK182">
        <v>0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ROW(Source!A193)</f>
        <v>193</v>
      </c>
      <c r="B183">
        <v>53860087</v>
      </c>
      <c r="C183">
        <v>53860748</v>
      </c>
      <c r="D183">
        <v>29529074</v>
      </c>
      <c r="E183">
        <v>29506949</v>
      </c>
      <c r="F183">
        <v>1</v>
      </c>
      <c r="G183">
        <v>29506949</v>
      </c>
      <c r="H183">
        <v>3</v>
      </c>
      <c r="I183" t="s">
        <v>648</v>
      </c>
      <c r="J183" t="s">
        <v>3</v>
      </c>
      <c r="K183" t="s">
        <v>649</v>
      </c>
      <c r="L183">
        <v>1348</v>
      </c>
      <c r="N183">
        <v>1009</v>
      </c>
      <c r="O183" t="s">
        <v>75</v>
      </c>
      <c r="P183" t="s">
        <v>75</v>
      </c>
      <c r="Q183">
        <v>1000</v>
      </c>
      <c r="W183">
        <v>0</v>
      </c>
      <c r="X183">
        <v>1489638031</v>
      </c>
      <c r="Y183">
        <f t="shared" si="86"/>
        <v>0.47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0.47</v>
      </c>
      <c r="AU183" t="s">
        <v>3</v>
      </c>
      <c r="AV183">
        <v>0</v>
      </c>
      <c r="AW183">
        <v>2</v>
      </c>
      <c r="AX183">
        <v>53861311</v>
      </c>
      <c r="AY183">
        <v>1</v>
      </c>
      <c r="AZ183">
        <v>0</v>
      </c>
      <c r="BA183">
        <v>290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V183">
        <v>0</v>
      </c>
      <c r="CW183">
        <v>0</v>
      </c>
      <c r="CX183">
        <f>ROUND(Y183*Source!I193,9)</f>
        <v>0.56399999999999995</v>
      </c>
      <c r="CY183">
        <f>AA183</f>
        <v>0</v>
      </c>
      <c r="CZ183">
        <f>AE183</f>
        <v>0</v>
      </c>
      <c r="DA183">
        <f>AI183</f>
        <v>1</v>
      </c>
      <c r="DB183">
        <f t="shared" si="87"/>
        <v>0</v>
      </c>
      <c r="DC183">
        <f t="shared" si="88"/>
        <v>0</v>
      </c>
      <c r="DD183" t="s">
        <v>3</v>
      </c>
      <c r="DE183" t="s">
        <v>3</v>
      </c>
      <c r="DF183">
        <f t="shared" si="91"/>
        <v>0</v>
      </c>
      <c r="DG183">
        <f t="shared" si="89"/>
        <v>0</v>
      </c>
      <c r="DH183">
        <f t="shared" si="90"/>
        <v>0</v>
      </c>
      <c r="DI183">
        <f t="shared" si="56"/>
        <v>0</v>
      </c>
      <c r="DJ183">
        <f>DF183</f>
        <v>0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ROW(Source!A194)</f>
        <v>194</v>
      </c>
      <c r="B184">
        <v>53860087</v>
      </c>
      <c r="C184">
        <v>53860753</v>
      </c>
      <c r="D184">
        <v>29506954</v>
      </c>
      <c r="E184">
        <v>29506949</v>
      </c>
      <c r="F184">
        <v>1</v>
      </c>
      <c r="G184">
        <v>29506949</v>
      </c>
      <c r="H184">
        <v>1</v>
      </c>
      <c r="I184" t="s">
        <v>638</v>
      </c>
      <c r="J184" t="s">
        <v>3</v>
      </c>
      <c r="K184" t="s">
        <v>639</v>
      </c>
      <c r="L184">
        <v>1191</v>
      </c>
      <c r="N184">
        <v>1013</v>
      </c>
      <c r="O184" t="s">
        <v>640</v>
      </c>
      <c r="P184" t="s">
        <v>640</v>
      </c>
      <c r="Q184">
        <v>1</v>
      </c>
      <c r="W184">
        <v>0</v>
      </c>
      <c r="X184">
        <v>476480486</v>
      </c>
      <c r="Y184">
        <f t="shared" si="86"/>
        <v>3.77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3.77</v>
      </c>
      <c r="AU184" t="s">
        <v>3</v>
      </c>
      <c r="AV184">
        <v>1</v>
      </c>
      <c r="AW184">
        <v>2</v>
      </c>
      <c r="AX184">
        <v>53861312</v>
      </c>
      <c r="AY184">
        <v>1</v>
      </c>
      <c r="AZ184">
        <v>0</v>
      </c>
      <c r="BA184">
        <v>291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U184">
        <f>ROUND(AT184*Source!I194*AH184*AL184,2)</f>
        <v>0</v>
      </c>
      <c r="CV184">
        <f>ROUND(Y184*Source!I194,9)</f>
        <v>5.6550000000000002</v>
      </c>
      <c r="CW184">
        <v>0</v>
      </c>
      <c r="CX184">
        <f>ROUND(Y184*Source!I194,9)</f>
        <v>5.6550000000000002</v>
      </c>
      <c r="CY184">
        <f>AD184</f>
        <v>0</v>
      </c>
      <c r="CZ184">
        <f>AH184</f>
        <v>0</v>
      </c>
      <c r="DA184">
        <f>AL184</f>
        <v>1</v>
      </c>
      <c r="DB184">
        <f t="shared" si="87"/>
        <v>0</v>
      </c>
      <c r="DC184">
        <f t="shared" si="88"/>
        <v>0</v>
      </c>
      <c r="DD184" t="s">
        <v>3</v>
      </c>
      <c r="DE184" t="s">
        <v>3</v>
      </c>
      <c r="DF184">
        <f t="shared" si="91"/>
        <v>0</v>
      </c>
      <c r="DG184">
        <f t="shared" si="89"/>
        <v>0</v>
      </c>
      <c r="DH184">
        <f t="shared" si="90"/>
        <v>0</v>
      </c>
      <c r="DI184">
        <f t="shared" si="56"/>
        <v>0</v>
      </c>
      <c r="DJ184">
        <f>DI184</f>
        <v>0</v>
      </c>
      <c r="DK184">
        <v>0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ROW(Source!A194)</f>
        <v>194</v>
      </c>
      <c r="B185">
        <v>53860087</v>
      </c>
      <c r="C185">
        <v>53860753</v>
      </c>
      <c r="D185">
        <v>29529074</v>
      </c>
      <c r="E185">
        <v>29506949</v>
      </c>
      <c r="F185">
        <v>1</v>
      </c>
      <c r="G185">
        <v>29506949</v>
      </c>
      <c r="H185">
        <v>3</v>
      </c>
      <c r="I185" t="s">
        <v>648</v>
      </c>
      <c r="J185" t="s">
        <v>3</v>
      </c>
      <c r="K185" t="s">
        <v>649</v>
      </c>
      <c r="L185">
        <v>1348</v>
      </c>
      <c r="N185">
        <v>1009</v>
      </c>
      <c r="O185" t="s">
        <v>75</v>
      </c>
      <c r="P185" t="s">
        <v>75</v>
      </c>
      <c r="Q185">
        <v>1000</v>
      </c>
      <c r="W185">
        <v>0</v>
      </c>
      <c r="X185">
        <v>1489638031</v>
      </c>
      <c r="Y185">
        <f t="shared" si="86"/>
        <v>0.11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0.11</v>
      </c>
      <c r="AU185" t="s">
        <v>3</v>
      </c>
      <c r="AV185">
        <v>0</v>
      </c>
      <c r="AW185">
        <v>2</v>
      </c>
      <c r="AX185">
        <v>53861313</v>
      </c>
      <c r="AY185">
        <v>1</v>
      </c>
      <c r="AZ185">
        <v>0</v>
      </c>
      <c r="BA185">
        <v>292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V185">
        <v>0</v>
      </c>
      <c r="CW185">
        <v>0</v>
      </c>
      <c r="CX185">
        <f>ROUND(Y185*Source!I194,9)</f>
        <v>0.16500000000000001</v>
      </c>
      <c r="CY185">
        <f>AA185</f>
        <v>0</v>
      </c>
      <c r="CZ185">
        <f>AE185</f>
        <v>0</v>
      </c>
      <c r="DA185">
        <f>AI185</f>
        <v>1</v>
      </c>
      <c r="DB185">
        <f t="shared" si="87"/>
        <v>0</v>
      </c>
      <c r="DC185">
        <f t="shared" si="88"/>
        <v>0</v>
      </c>
      <c r="DD185" t="s">
        <v>3</v>
      </c>
      <c r="DE185" t="s">
        <v>3</v>
      </c>
      <c r="DF185">
        <f t="shared" si="91"/>
        <v>0</v>
      </c>
      <c r="DG185">
        <f t="shared" si="89"/>
        <v>0</v>
      </c>
      <c r="DH185">
        <f t="shared" si="90"/>
        <v>0</v>
      </c>
      <c r="DI185">
        <f t="shared" si="56"/>
        <v>0</v>
      </c>
      <c r="DJ185">
        <f>DF185</f>
        <v>0</v>
      </c>
      <c r="DK185">
        <v>0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ROW(Source!A196)</f>
        <v>196</v>
      </c>
      <c r="B186">
        <v>53860087</v>
      </c>
      <c r="C186">
        <v>53860759</v>
      </c>
      <c r="D186">
        <v>29506954</v>
      </c>
      <c r="E186">
        <v>29506949</v>
      </c>
      <c r="F186">
        <v>1</v>
      </c>
      <c r="G186">
        <v>29506949</v>
      </c>
      <c r="H186">
        <v>1</v>
      </c>
      <c r="I186" t="s">
        <v>638</v>
      </c>
      <c r="J186" t="s">
        <v>3</v>
      </c>
      <c r="K186" t="s">
        <v>639</v>
      </c>
      <c r="L186">
        <v>1191</v>
      </c>
      <c r="N186">
        <v>1013</v>
      </c>
      <c r="O186" t="s">
        <v>640</v>
      </c>
      <c r="P186" t="s">
        <v>640</v>
      </c>
      <c r="Q186">
        <v>1</v>
      </c>
      <c r="W186">
        <v>0</v>
      </c>
      <c r="X186">
        <v>476480486</v>
      </c>
      <c r="Y186">
        <f t="shared" si="86"/>
        <v>24.6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24.6</v>
      </c>
      <c r="AU186" t="s">
        <v>3</v>
      </c>
      <c r="AV186">
        <v>1</v>
      </c>
      <c r="AW186">
        <v>2</v>
      </c>
      <c r="AX186">
        <v>53861318</v>
      </c>
      <c r="AY186">
        <v>1</v>
      </c>
      <c r="AZ186">
        <v>0</v>
      </c>
      <c r="BA186">
        <v>297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U186">
        <f>ROUND(AT186*Source!I196*AH186*AL186,2)</f>
        <v>0</v>
      </c>
      <c r="CV186">
        <f>ROUND(Y186*Source!I196,9)</f>
        <v>66.42</v>
      </c>
      <c r="CW186">
        <v>0</v>
      </c>
      <c r="CX186">
        <f>ROUND(Y186*Source!I196,9)</f>
        <v>66.42</v>
      </c>
      <c r="CY186">
        <f>AD186</f>
        <v>0</v>
      </c>
      <c r="CZ186">
        <f>AH186</f>
        <v>0</v>
      </c>
      <c r="DA186">
        <f>AL186</f>
        <v>1</v>
      </c>
      <c r="DB186">
        <f t="shared" si="87"/>
        <v>0</v>
      </c>
      <c r="DC186">
        <f t="shared" si="88"/>
        <v>0</v>
      </c>
      <c r="DD186" t="s">
        <v>3</v>
      </c>
      <c r="DE186" t="s">
        <v>3</v>
      </c>
      <c r="DF186">
        <f t="shared" si="91"/>
        <v>0</v>
      </c>
      <c r="DG186">
        <f t="shared" si="89"/>
        <v>0</v>
      </c>
      <c r="DH186">
        <f t="shared" si="90"/>
        <v>0</v>
      </c>
      <c r="DI186">
        <f t="shared" si="56"/>
        <v>0</v>
      </c>
      <c r="DJ186">
        <f>DI186</f>
        <v>0</v>
      </c>
      <c r="DK186">
        <v>0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ROW(Source!A196)</f>
        <v>196</v>
      </c>
      <c r="B187">
        <v>53860087</v>
      </c>
      <c r="C187">
        <v>53860759</v>
      </c>
      <c r="D187">
        <v>29580109</v>
      </c>
      <c r="E187">
        <v>1</v>
      </c>
      <c r="F187">
        <v>1</v>
      </c>
      <c r="G187">
        <v>29506949</v>
      </c>
      <c r="H187">
        <v>2</v>
      </c>
      <c r="I187" t="s">
        <v>754</v>
      </c>
      <c r="J187" t="s">
        <v>755</v>
      </c>
      <c r="K187" t="s">
        <v>756</v>
      </c>
      <c r="L187">
        <v>1368</v>
      </c>
      <c r="N187">
        <v>1011</v>
      </c>
      <c r="O187" t="s">
        <v>647</v>
      </c>
      <c r="P187" t="s">
        <v>647</v>
      </c>
      <c r="Q187">
        <v>1</v>
      </c>
      <c r="W187">
        <v>0</v>
      </c>
      <c r="X187">
        <v>-697602164</v>
      </c>
      <c r="Y187">
        <f t="shared" si="86"/>
        <v>10.4</v>
      </c>
      <c r="AA187">
        <v>0</v>
      </c>
      <c r="AB187">
        <v>627.07000000000005</v>
      </c>
      <c r="AC187">
        <v>397.72</v>
      </c>
      <c r="AD187">
        <v>0</v>
      </c>
      <c r="AE187">
        <v>0</v>
      </c>
      <c r="AF187">
        <v>34.479999999999997</v>
      </c>
      <c r="AG187">
        <v>12.62</v>
      </c>
      <c r="AH187">
        <v>0</v>
      </c>
      <c r="AI187">
        <v>1</v>
      </c>
      <c r="AJ187">
        <v>17.37</v>
      </c>
      <c r="AK187">
        <v>30.1</v>
      </c>
      <c r="AL187">
        <v>1</v>
      </c>
      <c r="AM187">
        <v>2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10.4</v>
      </c>
      <c r="AU187" t="s">
        <v>3</v>
      </c>
      <c r="AV187">
        <v>0</v>
      </c>
      <c r="AW187">
        <v>2</v>
      </c>
      <c r="AX187">
        <v>53861319</v>
      </c>
      <c r="AY187">
        <v>1</v>
      </c>
      <c r="AZ187">
        <v>0</v>
      </c>
      <c r="BA187">
        <v>298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f>ROUND(Y187*Source!I196,9)</f>
        <v>28.08</v>
      </c>
      <c r="CX187">
        <f>ROUND(Y187*Source!I196,9)</f>
        <v>28.08</v>
      </c>
      <c r="CY187">
        <f>AB187</f>
        <v>627.07000000000005</v>
      </c>
      <c r="CZ187">
        <f>AF187</f>
        <v>34.479999999999997</v>
      </c>
      <c r="DA187">
        <f>AJ187</f>
        <v>17.37</v>
      </c>
      <c r="DB187">
        <f t="shared" si="87"/>
        <v>358.59</v>
      </c>
      <c r="DC187">
        <f t="shared" si="88"/>
        <v>131.25</v>
      </c>
      <c r="DD187" t="s">
        <v>3</v>
      </c>
      <c r="DE187" t="s">
        <v>3</v>
      </c>
      <c r="DF187">
        <f t="shared" si="91"/>
        <v>0</v>
      </c>
      <c r="DG187">
        <f>ROUND(ROUND(AF187*AJ187,2)*CX187,2)</f>
        <v>16817.669999999998</v>
      </c>
      <c r="DH187">
        <f>ROUND(ROUND(AG187*AK187,2)*CX187,2)</f>
        <v>10666.47</v>
      </c>
      <c r="DI187">
        <f t="shared" si="56"/>
        <v>0</v>
      </c>
      <c r="DJ187">
        <f>DG187</f>
        <v>16817.669999999998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ROW(Source!A196)</f>
        <v>196</v>
      </c>
      <c r="B188">
        <v>53860087</v>
      </c>
      <c r="C188">
        <v>53860759</v>
      </c>
      <c r="D188">
        <v>29580569</v>
      </c>
      <c r="E188">
        <v>1</v>
      </c>
      <c r="F188">
        <v>1</v>
      </c>
      <c r="G188">
        <v>29506949</v>
      </c>
      <c r="H188">
        <v>2</v>
      </c>
      <c r="I188" t="s">
        <v>757</v>
      </c>
      <c r="J188" t="s">
        <v>758</v>
      </c>
      <c r="K188" t="s">
        <v>759</v>
      </c>
      <c r="L188">
        <v>1368</v>
      </c>
      <c r="N188">
        <v>1011</v>
      </c>
      <c r="O188" t="s">
        <v>647</v>
      </c>
      <c r="P188" t="s">
        <v>647</v>
      </c>
      <c r="Q188">
        <v>1</v>
      </c>
      <c r="W188">
        <v>0</v>
      </c>
      <c r="X188">
        <v>156137990</v>
      </c>
      <c r="Y188">
        <f t="shared" si="86"/>
        <v>10.4</v>
      </c>
      <c r="AA188">
        <v>0</v>
      </c>
      <c r="AB188">
        <v>4.37</v>
      </c>
      <c r="AC188">
        <v>0</v>
      </c>
      <c r="AD188">
        <v>0</v>
      </c>
      <c r="AE188">
        <v>0</v>
      </c>
      <c r="AF188">
        <v>0.5</v>
      </c>
      <c r="AG188">
        <v>0</v>
      </c>
      <c r="AH188">
        <v>0</v>
      </c>
      <c r="AI188">
        <v>1</v>
      </c>
      <c r="AJ188">
        <v>8.34</v>
      </c>
      <c r="AK188">
        <v>30.1</v>
      </c>
      <c r="AL188">
        <v>1</v>
      </c>
      <c r="AM188">
        <v>2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10.4</v>
      </c>
      <c r="AU188" t="s">
        <v>3</v>
      </c>
      <c r="AV188">
        <v>0</v>
      </c>
      <c r="AW188">
        <v>2</v>
      </c>
      <c r="AX188">
        <v>53861320</v>
      </c>
      <c r="AY188">
        <v>1</v>
      </c>
      <c r="AZ188">
        <v>0</v>
      </c>
      <c r="BA188">
        <v>299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V188">
        <v>0</v>
      </c>
      <c r="CW188">
        <f>ROUND(Y188*Source!I196,9)</f>
        <v>28.08</v>
      </c>
      <c r="CX188">
        <f>ROUND(Y188*Source!I196,9)</f>
        <v>28.08</v>
      </c>
      <c r="CY188">
        <f>AB188</f>
        <v>4.37</v>
      </c>
      <c r="CZ188">
        <f>AF188</f>
        <v>0.5</v>
      </c>
      <c r="DA188">
        <f>AJ188</f>
        <v>8.34</v>
      </c>
      <c r="DB188">
        <f t="shared" si="87"/>
        <v>5.2</v>
      </c>
      <c r="DC188">
        <f t="shared" si="88"/>
        <v>0</v>
      </c>
      <c r="DD188" t="s">
        <v>3</v>
      </c>
      <c r="DE188" t="s">
        <v>3</v>
      </c>
      <c r="DF188">
        <f t="shared" si="91"/>
        <v>0</v>
      </c>
      <c r="DG188">
        <f>ROUND(ROUND(AF188*AJ188,2)*CX188,2)</f>
        <v>117.09</v>
      </c>
      <c r="DH188">
        <f>ROUND(ROUND(AG188*AK188,2)*CX188,2)</f>
        <v>0</v>
      </c>
      <c r="DI188">
        <f t="shared" si="56"/>
        <v>0</v>
      </c>
      <c r="DJ188">
        <f>DG188</f>
        <v>117.09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ROW(Source!A196)</f>
        <v>196</v>
      </c>
      <c r="B189">
        <v>53860087</v>
      </c>
      <c r="C189">
        <v>53860759</v>
      </c>
      <c r="D189">
        <v>29529074</v>
      </c>
      <c r="E189">
        <v>29506949</v>
      </c>
      <c r="F189">
        <v>1</v>
      </c>
      <c r="G189">
        <v>29506949</v>
      </c>
      <c r="H189">
        <v>3</v>
      </c>
      <c r="I189" t="s">
        <v>648</v>
      </c>
      <c r="J189" t="s">
        <v>3</v>
      </c>
      <c r="K189" t="s">
        <v>649</v>
      </c>
      <c r="L189">
        <v>1348</v>
      </c>
      <c r="N189">
        <v>1009</v>
      </c>
      <c r="O189" t="s">
        <v>75</v>
      </c>
      <c r="P189" t="s">
        <v>75</v>
      </c>
      <c r="Q189">
        <v>1000</v>
      </c>
      <c r="W189">
        <v>0</v>
      </c>
      <c r="X189">
        <v>1489638031</v>
      </c>
      <c r="Y189">
        <f t="shared" si="86"/>
        <v>6.6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6.6</v>
      </c>
      <c r="AU189" t="s">
        <v>3</v>
      </c>
      <c r="AV189">
        <v>0</v>
      </c>
      <c r="AW189">
        <v>2</v>
      </c>
      <c r="AX189">
        <v>53861321</v>
      </c>
      <c r="AY189">
        <v>1</v>
      </c>
      <c r="AZ189">
        <v>0</v>
      </c>
      <c r="BA189">
        <v>300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V189">
        <v>0</v>
      </c>
      <c r="CW189">
        <v>0</v>
      </c>
      <c r="CX189">
        <f>ROUND(Y189*Source!I196,9)</f>
        <v>17.82</v>
      </c>
      <c r="CY189">
        <f>AA189</f>
        <v>0</v>
      </c>
      <c r="CZ189">
        <f>AE189</f>
        <v>0</v>
      </c>
      <c r="DA189">
        <f>AI189</f>
        <v>1</v>
      </c>
      <c r="DB189">
        <f t="shared" si="87"/>
        <v>0</v>
      </c>
      <c r="DC189">
        <f t="shared" si="88"/>
        <v>0</v>
      </c>
      <c r="DD189" t="s">
        <v>3</v>
      </c>
      <c r="DE189" t="s">
        <v>3</v>
      </c>
      <c r="DF189">
        <f t="shared" si="91"/>
        <v>0</v>
      </c>
      <c r="DG189">
        <f>ROUND(ROUND(AF189,2)*CX189,2)</f>
        <v>0</v>
      </c>
      <c r="DH189">
        <f>ROUND(ROUND(AG189,2)*CX189,2)</f>
        <v>0</v>
      </c>
      <c r="DI189">
        <f t="shared" si="56"/>
        <v>0</v>
      </c>
      <c r="DJ189">
        <f>DF189</f>
        <v>0</v>
      </c>
      <c r="DK189">
        <v>0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ROW(Source!A197)</f>
        <v>197</v>
      </c>
      <c r="B190">
        <v>53860087</v>
      </c>
      <c r="C190">
        <v>53860768</v>
      </c>
      <c r="D190">
        <v>29506954</v>
      </c>
      <c r="E190">
        <v>29506949</v>
      </c>
      <c r="F190">
        <v>1</v>
      </c>
      <c r="G190">
        <v>29506949</v>
      </c>
      <c r="H190">
        <v>1</v>
      </c>
      <c r="I190" t="s">
        <v>638</v>
      </c>
      <c r="J190" t="s">
        <v>3</v>
      </c>
      <c r="K190" t="s">
        <v>639</v>
      </c>
      <c r="L190">
        <v>1191</v>
      </c>
      <c r="N190">
        <v>1013</v>
      </c>
      <c r="O190" t="s">
        <v>640</v>
      </c>
      <c r="P190" t="s">
        <v>640</v>
      </c>
      <c r="Q190">
        <v>1</v>
      </c>
      <c r="W190">
        <v>0</v>
      </c>
      <c r="X190">
        <v>476480486</v>
      </c>
      <c r="Y190">
        <f>(AT190*2)</f>
        <v>6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3</v>
      </c>
      <c r="AU190" t="s">
        <v>398</v>
      </c>
      <c r="AV190">
        <v>1</v>
      </c>
      <c r="AW190">
        <v>2</v>
      </c>
      <c r="AX190">
        <v>53861322</v>
      </c>
      <c r="AY190">
        <v>1</v>
      </c>
      <c r="AZ190">
        <v>0</v>
      </c>
      <c r="BA190">
        <v>301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U190">
        <f>ROUND(AT190*Source!I197*AH190*AL190,2)</f>
        <v>0</v>
      </c>
      <c r="CV190">
        <f>ROUND(Y190*Source!I197,9)</f>
        <v>16.2</v>
      </c>
      <c r="CW190">
        <v>0</v>
      </c>
      <c r="CX190">
        <f>ROUND(Y190*Source!I197,9)</f>
        <v>16.2</v>
      </c>
      <c r="CY190">
        <f>AD190</f>
        <v>0</v>
      </c>
      <c r="CZ190">
        <f>AH190</f>
        <v>0</v>
      </c>
      <c r="DA190">
        <f>AL190</f>
        <v>1</v>
      </c>
      <c r="DB190">
        <f>ROUND((ROUND(AT190*CZ190,2)*2),6)</f>
        <v>0</v>
      </c>
      <c r="DC190">
        <f>ROUND((ROUND(AT190*AG190,2)*2),6)</f>
        <v>0</v>
      </c>
      <c r="DD190" t="s">
        <v>3</v>
      </c>
      <c r="DE190" t="s">
        <v>3</v>
      </c>
      <c r="DF190">
        <f t="shared" si="91"/>
        <v>0</v>
      </c>
      <c r="DG190">
        <f>ROUND(ROUND(AF190,2)*CX190,2)</f>
        <v>0</v>
      </c>
      <c r="DH190">
        <f>ROUND(ROUND(AG190,2)*CX190,2)</f>
        <v>0</v>
      </c>
      <c r="DI190">
        <f t="shared" si="56"/>
        <v>0</v>
      </c>
      <c r="DJ190">
        <f>DI190</f>
        <v>0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ROW(Source!A197)</f>
        <v>197</v>
      </c>
      <c r="B191">
        <v>53860087</v>
      </c>
      <c r="C191">
        <v>53860768</v>
      </c>
      <c r="D191">
        <v>29529074</v>
      </c>
      <c r="E191">
        <v>29506949</v>
      </c>
      <c r="F191">
        <v>1</v>
      </c>
      <c r="G191">
        <v>29506949</v>
      </c>
      <c r="H191">
        <v>3</v>
      </c>
      <c r="I191" t="s">
        <v>648</v>
      </c>
      <c r="J191" t="s">
        <v>3</v>
      </c>
      <c r="K191" t="s">
        <v>649</v>
      </c>
      <c r="L191">
        <v>1348</v>
      </c>
      <c r="N191">
        <v>1009</v>
      </c>
      <c r="O191" t="s">
        <v>75</v>
      </c>
      <c r="P191" t="s">
        <v>75</v>
      </c>
      <c r="Q191">
        <v>1000</v>
      </c>
      <c r="W191">
        <v>0</v>
      </c>
      <c r="X191">
        <v>1489638031</v>
      </c>
      <c r="Y191">
        <f>(AT191*2)</f>
        <v>2.2000000000000002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1.1000000000000001</v>
      </c>
      <c r="AU191" t="s">
        <v>398</v>
      </c>
      <c r="AV191">
        <v>0</v>
      </c>
      <c r="AW191">
        <v>2</v>
      </c>
      <c r="AX191">
        <v>53861323</v>
      </c>
      <c r="AY191">
        <v>1</v>
      </c>
      <c r="AZ191">
        <v>0</v>
      </c>
      <c r="BA191">
        <v>302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V191">
        <v>0</v>
      </c>
      <c r="CW191">
        <v>0</v>
      </c>
      <c r="CX191">
        <f>ROUND(Y191*Source!I197,9)</f>
        <v>5.94</v>
      </c>
      <c r="CY191">
        <f>AA191</f>
        <v>0</v>
      </c>
      <c r="CZ191">
        <f>AE191</f>
        <v>0</v>
      </c>
      <c r="DA191">
        <f>AI191</f>
        <v>1</v>
      </c>
      <c r="DB191">
        <f>ROUND((ROUND(AT191*CZ191,2)*2),6)</f>
        <v>0</v>
      </c>
      <c r="DC191">
        <f>ROUND((ROUND(AT191*AG191,2)*2),6)</f>
        <v>0</v>
      </c>
      <c r="DD191" t="s">
        <v>3</v>
      </c>
      <c r="DE191" t="s">
        <v>3</v>
      </c>
      <c r="DF191">
        <f t="shared" si="91"/>
        <v>0</v>
      </c>
      <c r="DG191">
        <f>ROUND(ROUND(AF191,2)*CX191,2)</f>
        <v>0</v>
      </c>
      <c r="DH191">
        <f>ROUND(ROUND(AG191,2)*CX191,2)</f>
        <v>0</v>
      </c>
      <c r="DI191">
        <f t="shared" si="56"/>
        <v>0</v>
      </c>
      <c r="DJ191">
        <f>DF191</f>
        <v>0</v>
      </c>
      <c r="DK191">
        <v>0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ROW(Source!A199)</f>
        <v>199</v>
      </c>
      <c r="B192">
        <v>53860087</v>
      </c>
      <c r="C192">
        <v>53860774</v>
      </c>
      <c r="D192">
        <v>29506954</v>
      </c>
      <c r="E192">
        <v>29506949</v>
      </c>
      <c r="F192">
        <v>1</v>
      </c>
      <c r="G192">
        <v>29506949</v>
      </c>
      <c r="H192">
        <v>1</v>
      </c>
      <c r="I192" t="s">
        <v>638</v>
      </c>
      <c r="J192" t="s">
        <v>3</v>
      </c>
      <c r="K192" t="s">
        <v>639</v>
      </c>
      <c r="L192">
        <v>1191</v>
      </c>
      <c r="N192">
        <v>1013</v>
      </c>
      <c r="O192" t="s">
        <v>640</v>
      </c>
      <c r="P192" t="s">
        <v>640</v>
      </c>
      <c r="Q192">
        <v>1</v>
      </c>
      <c r="W192">
        <v>0</v>
      </c>
      <c r="X192">
        <v>476480486</v>
      </c>
      <c r="Y192">
        <f>(AT192*1.15)</f>
        <v>98.025999999999982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85.24</v>
      </c>
      <c r="AU192" t="s">
        <v>52</v>
      </c>
      <c r="AV192">
        <v>1</v>
      </c>
      <c r="AW192">
        <v>2</v>
      </c>
      <c r="AX192">
        <v>53861324</v>
      </c>
      <c r="AY192">
        <v>1</v>
      </c>
      <c r="AZ192">
        <v>0</v>
      </c>
      <c r="BA192">
        <v>303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U192">
        <f>ROUND(AT192*Source!I199*AH192*AL192,2)</f>
        <v>0</v>
      </c>
      <c r="CV192">
        <f>ROUND(Y192*Source!I199,9)</f>
        <v>98.025999999999996</v>
      </c>
      <c r="CW192">
        <v>0</v>
      </c>
      <c r="CX192">
        <f>ROUND(Y192*Source!I199,9)</f>
        <v>98.025999999999996</v>
      </c>
      <c r="CY192">
        <f>AD192</f>
        <v>0</v>
      </c>
      <c r="CZ192">
        <f>AH192</f>
        <v>0</v>
      </c>
      <c r="DA192">
        <f>AL192</f>
        <v>1</v>
      </c>
      <c r="DB192">
        <f>ROUND((ROUND(AT192*CZ192,2)*1.15),6)</f>
        <v>0</v>
      </c>
      <c r="DC192">
        <f>ROUND((ROUND(AT192*AG192,2)*1.15),6)</f>
        <v>0</v>
      </c>
      <c r="DD192" t="s">
        <v>3</v>
      </c>
      <c r="DE192" t="s">
        <v>3</v>
      </c>
      <c r="DF192">
        <f t="shared" si="91"/>
        <v>0</v>
      </c>
      <c r="DG192">
        <f>ROUND(ROUND(AF192,2)*CX192,2)</f>
        <v>0</v>
      </c>
      <c r="DH192">
        <f>ROUND(ROUND(AG192,2)*CX192,2)</f>
        <v>0</v>
      </c>
      <c r="DI192">
        <f t="shared" si="56"/>
        <v>0</v>
      </c>
      <c r="DJ192">
        <f>DI192</f>
        <v>0</v>
      </c>
      <c r="DK192">
        <v>0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ROW(Source!A199)</f>
        <v>199</v>
      </c>
      <c r="B193">
        <v>53860087</v>
      </c>
      <c r="C193">
        <v>53860774</v>
      </c>
      <c r="D193">
        <v>29580002</v>
      </c>
      <c r="E193">
        <v>1</v>
      </c>
      <c r="F193">
        <v>1</v>
      </c>
      <c r="G193">
        <v>29506949</v>
      </c>
      <c r="H193">
        <v>2</v>
      </c>
      <c r="I193" t="s">
        <v>760</v>
      </c>
      <c r="J193" t="s">
        <v>761</v>
      </c>
      <c r="K193" t="s">
        <v>762</v>
      </c>
      <c r="L193">
        <v>1368</v>
      </c>
      <c r="N193">
        <v>1011</v>
      </c>
      <c r="O193" t="s">
        <v>647</v>
      </c>
      <c r="P193" t="s">
        <v>647</v>
      </c>
      <c r="Q193">
        <v>1</v>
      </c>
      <c r="W193">
        <v>0</v>
      </c>
      <c r="X193">
        <v>1979843893</v>
      </c>
      <c r="Y193">
        <f>(AT193*1.25)</f>
        <v>0.89999999999999991</v>
      </c>
      <c r="AA193">
        <v>0</v>
      </c>
      <c r="AB193">
        <v>399.58</v>
      </c>
      <c r="AC193">
        <v>352.33</v>
      </c>
      <c r="AD193">
        <v>0</v>
      </c>
      <c r="AE193">
        <v>0</v>
      </c>
      <c r="AF193">
        <v>13.07</v>
      </c>
      <c r="AG193">
        <v>11.18</v>
      </c>
      <c r="AH193">
        <v>0</v>
      </c>
      <c r="AI193">
        <v>1</v>
      </c>
      <c r="AJ193">
        <v>29.2</v>
      </c>
      <c r="AK193">
        <v>30.1</v>
      </c>
      <c r="AL193">
        <v>1</v>
      </c>
      <c r="AM193">
        <v>2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0.72</v>
      </c>
      <c r="AU193" t="s">
        <v>51</v>
      </c>
      <c r="AV193">
        <v>0</v>
      </c>
      <c r="AW193">
        <v>2</v>
      </c>
      <c r="AX193">
        <v>53861325</v>
      </c>
      <c r="AY193">
        <v>1</v>
      </c>
      <c r="AZ193">
        <v>0</v>
      </c>
      <c r="BA193">
        <v>304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V193">
        <v>0</v>
      </c>
      <c r="CW193">
        <f>ROUND(Y193*Source!I199,9)</f>
        <v>0.9</v>
      </c>
      <c r="CX193">
        <f>ROUND(Y193*Source!I199,9)</f>
        <v>0.9</v>
      </c>
      <c r="CY193">
        <f>AB193</f>
        <v>399.58</v>
      </c>
      <c r="CZ193">
        <f>AF193</f>
        <v>13.07</v>
      </c>
      <c r="DA193">
        <f>AJ193</f>
        <v>29.2</v>
      </c>
      <c r="DB193">
        <f>ROUND((ROUND(AT193*CZ193,2)*1.25),6)</f>
        <v>11.762499999999999</v>
      </c>
      <c r="DC193">
        <f>ROUND((ROUND(AT193*AG193,2)*1.25),6)</f>
        <v>10.0625</v>
      </c>
      <c r="DD193" t="s">
        <v>3</v>
      </c>
      <c r="DE193" t="s">
        <v>3</v>
      </c>
      <c r="DF193">
        <f t="shared" si="91"/>
        <v>0</v>
      </c>
      <c r="DG193">
        <f>ROUND(ROUND(AF193*AJ193,2)*CX193,2)</f>
        <v>343.48</v>
      </c>
      <c r="DH193">
        <f>ROUND(ROUND(AG193*AK193,2)*CX193,2)</f>
        <v>302.87</v>
      </c>
      <c r="DI193">
        <f t="shared" ref="DI193:DI256" si="92">ROUND(ROUND(AH193,2)*CX193,2)</f>
        <v>0</v>
      </c>
      <c r="DJ193">
        <f>DG193</f>
        <v>343.48</v>
      </c>
      <c r="DK193">
        <v>0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ROW(Source!A199)</f>
        <v>199</v>
      </c>
      <c r="B194">
        <v>53860087</v>
      </c>
      <c r="C194">
        <v>53860774</v>
      </c>
      <c r="D194">
        <v>29555598</v>
      </c>
      <c r="E194">
        <v>1</v>
      </c>
      <c r="F194">
        <v>1</v>
      </c>
      <c r="G194">
        <v>29506949</v>
      </c>
      <c r="H194">
        <v>3</v>
      </c>
      <c r="I194" t="s">
        <v>68</v>
      </c>
      <c r="J194" t="s">
        <v>71</v>
      </c>
      <c r="K194" t="s">
        <v>69</v>
      </c>
      <c r="L194">
        <v>1339</v>
      </c>
      <c r="N194">
        <v>1007</v>
      </c>
      <c r="O194" t="s">
        <v>70</v>
      </c>
      <c r="P194" t="s">
        <v>70</v>
      </c>
      <c r="Q194">
        <v>1</v>
      </c>
      <c r="W194">
        <v>0</v>
      </c>
      <c r="X194">
        <v>-862991314</v>
      </c>
      <c r="Y194">
        <f>AT194</f>
        <v>0.11</v>
      </c>
      <c r="AA194">
        <v>42.42</v>
      </c>
      <c r="AB194">
        <v>0</v>
      </c>
      <c r="AC194">
        <v>0</v>
      </c>
      <c r="AD194">
        <v>0</v>
      </c>
      <c r="AE194">
        <v>7.07</v>
      </c>
      <c r="AF194">
        <v>0</v>
      </c>
      <c r="AG194">
        <v>0</v>
      </c>
      <c r="AH194">
        <v>0</v>
      </c>
      <c r="AI194">
        <v>6</v>
      </c>
      <c r="AJ194">
        <v>1</v>
      </c>
      <c r="AK194">
        <v>1</v>
      </c>
      <c r="AL194">
        <v>1</v>
      </c>
      <c r="AM194">
        <v>2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0.11</v>
      </c>
      <c r="AU194" t="s">
        <v>3</v>
      </c>
      <c r="AV194">
        <v>0</v>
      </c>
      <c r="AW194">
        <v>2</v>
      </c>
      <c r="AX194">
        <v>53861326</v>
      </c>
      <c r="AY194">
        <v>1</v>
      </c>
      <c r="AZ194">
        <v>0</v>
      </c>
      <c r="BA194">
        <v>305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V194">
        <v>0</v>
      </c>
      <c r="CW194">
        <v>0</v>
      </c>
      <c r="CX194">
        <f>ROUND(Y194*Source!I199,9)</f>
        <v>0.11</v>
      </c>
      <c r="CY194">
        <f>AA194</f>
        <v>42.42</v>
      </c>
      <c r="CZ194">
        <f>AE194</f>
        <v>7.07</v>
      </c>
      <c r="DA194">
        <f>AI194</f>
        <v>6</v>
      </c>
      <c r="DB194">
        <f>ROUND(ROUND(AT194*CZ194,2),6)</f>
        <v>0.78</v>
      </c>
      <c r="DC194">
        <f>ROUND(ROUND(AT194*AG194,2),6)</f>
        <v>0</v>
      </c>
      <c r="DD194" t="s">
        <v>3</v>
      </c>
      <c r="DE194" t="s">
        <v>3</v>
      </c>
      <c r="DF194">
        <f>ROUND(ROUND(AE194*AI194,2)*CX194,2)</f>
        <v>4.67</v>
      </c>
      <c r="DG194">
        <f>ROUND(ROUND(AF194,2)*CX194,2)</f>
        <v>0</v>
      </c>
      <c r="DH194">
        <f>ROUND(ROUND(AG194,2)*CX194,2)</f>
        <v>0</v>
      </c>
      <c r="DI194">
        <f t="shared" si="92"/>
        <v>0</v>
      </c>
      <c r="DJ194">
        <f>DF194</f>
        <v>4.67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ROW(Source!A199)</f>
        <v>199</v>
      </c>
      <c r="B195">
        <v>53860087</v>
      </c>
      <c r="C195">
        <v>53860774</v>
      </c>
      <c r="D195">
        <v>29574163</v>
      </c>
      <c r="E195">
        <v>1</v>
      </c>
      <c r="F195">
        <v>1</v>
      </c>
      <c r="G195">
        <v>29506949</v>
      </c>
      <c r="H195">
        <v>3</v>
      </c>
      <c r="I195" t="s">
        <v>404</v>
      </c>
      <c r="J195" t="s">
        <v>405</v>
      </c>
      <c r="K195" t="s">
        <v>980</v>
      </c>
      <c r="L195">
        <v>1346</v>
      </c>
      <c r="N195">
        <v>1009</v>
      </c>
      <c r="O195" t="s">
        <v>58</v>
      </c>
      <c r="P195" t="s">
        <v>58</v>
      </c>
      <c r="Q195">
        <v>1</v>
      </c>
      <c r="W195">
        <v>0</v>
      </c>
      <c r="X195">
        <v>-1508692527</v>
      </c>
      <c r="Y195">
        <f>AT195</f>
        <v>312</v>
      </c>
      <c r="AA195">
        <v>50.96</v>
      </c>
      <c r="AB195">
        <v>0</v>
      </c>
      <c r="AC195">
        <v>0</v>
      </c>
      <c r="AD195">
        <v>0</v>
      </c>
      <c r="AE195">
        <v>12.4</v>
      </c>
      <c r="AF195">
        <v>0</v>
      </c>
      <c r="AG195">
        <v>0</v>
      </c>
      <c r="AH195">
        <v>0</v>
      </c>
      <c r="AI195">
        <v>4.1100000000000003</v>
      </c>
      <c r="AJ195">
        <v>1</v>
      </c>
      <c r="AK195">
        <v>1</v>
      </c>
      <c r="AL195">
        <v>1</v>
      </c>
      <c r="AM195">
        <v>0</v>
      </c>
      <c r="AN195">
        <v>0</v>
      </c>
      <c r="AO195">
        <v>0</v>
      </c>
      <c r="AP195">
        <v>1</v>
      </c>
      <c r="AQ195">
        <v>0</v>
      </c>
      <c r="AR195">
        <v>0</v>
      </c>
      <c r="AS195" t="s">
        <v>3</v>
      </c>
      <c r="AT195">
        <v>312</v>
      </c>
      <c r="AU195" t="s">
        <v>3</v>
      </c>
      <c r="AV195">
        <v>0</v>
      </c>
      <c r="AW195">
        <v>1</v>
      </c>
      <c r="AX195">
        <v>-1</v>
      </c>
      <c r="AY195">
        <v>0</v>
      </c>
      <c r="AZ195">
        <v>0</v>
      </c>
      <c r="BA195" t="s">
        <v>3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V195">
        <v>0</v>
      </c>
      <c r="CW195">
        <v>0</v>
      </c>
      <c r="CX195">
        <f>ROUND(Y195*Source!I199,9)</f>
        <v>312</v>
      </c>
      <c r="CY195">
        <f>AA195</f>
        <v>50.96</v>
      </c>
      <c r="CZ195">
        <f>AE195</f>
        <v>12.4</v>
      </c>
      <c r="DA195">
        <f>AI195</f>
        <v>4.1100000000000003</v>
      </c>
      <c r="DB195">
        <f>ROUND(ROUND(AT195*CZ195,2),6)</f>
        <v>3868.8</v>
      </c>
      <c r="DC195">
        <f>ROUND(ROUND(AT195*AG195,2),6)</f>
        <v>0</v>
      </c>
      <c r="DD195" t="s">
        <v>3</v>
      </c>
      <c r="DE195" t="s">
        <v>3</v>
      </c>
      <c r="DF195">
        <f>ROUND(ROUND(AE195*AI195,2)*CX195,2)</f>
        <v>15899.52</v>
      </c>
      <c r="DG195">
        <f>ROUND(ROUND(AF195,2)*CX195,2)</f>
        <v>0</v>
      </c>
      <c r="DH195">
        <f>ROUND(ROUND(AG195,2)*CX195,2)</f>
        <v>0</v>
      </c>
      <c r="DI195">
        <f t="shared" si="92"/>
        <v>0</v>
      </c>
      <c r="DJ195">
        <f>DF195</f>
        <v>15899.52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ROW(Source!A201)</f>
        <v>201</v>
      </c>
      <c r="B196">
        <v>53860087</v>
      </c>
      <c r="C196">
        <v>53860784</v>
      </c>
      <c r="D196">
        <v>29506954</v>
      </c>
      <c r="E196">
        <v>29506949</v>
      </c>
      <c r="F196">
        <v>1</v>
      </c>
      <c r="G196">
        <v>29506949</v>
      </c>
      <c r="H196">
        <v>1</v>
      </c>
      <c r="I196" t="s">
        <v>638</v>
      </c>
      <c r="J196" t="s">
        <v>3</v>
      </c>
      <c r="K196" t="s">
        <v>639</v>
      </c>
      <c r="L196">
        <v>1191</v>
      </c>
      <c r="N196">
        <v>1013</v>
      </c>
      <c r="O196" t="s">
        <v>640</v>
      </c>
      <c r="P196" t="s">
        <v>640</v>
      </c>
      <c r="Q196">
        <v>1</v>
      </c>
      <c r="W196">
        <v>0</v>
      </c>
      <c r="X196">
        <v>476480486</v>
      </c>
      <c r="Y196">
        <f>(AT196*1.15)</f>
        <v>26.829499999999996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1</v>
      </c>
      <c r="AJ196">
        <v>1</v>
      </c>
      <c r="AK196">
        <v>1</v>
      </c>
      <c r="AL196">
        <v>1</v>
      </c>
      <c r="AM196">
        <v>-2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23.33</v>
      </c>
      <c r="AU196" t="s">
        <v>52</v>
      </c>
      <c r="AV196">
        <v>1</v>
      </c>
      <c r="AW196">
        <v>2</v>
      </c>
      <c r="AX196">
        <v>53861328</v>
      </c>
      <c r="AY196">
        <v>1</v>
      </c>
      <c r="AZ196">
        <v>0</v>
      </c>
      <c r="BA196">
        <v>307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U196">
        <f>ROUND(AT196*Source!I201*AH196*AL196,2)</f>
        <v>0</v>
      </c>
      <c r="CV196">
        <f>ROUND(Y196*Source!I201,9)</f>
        <v>72.43965</v>
      </c>
      <c r="CW196">
        <v>0</v>
      </c>
      <c r="CX196">
        <f>ROUND(Y196*Source!I201,9)</f>
        <v>72.43965</v>
      </c>
      <c r="CY196">
        <f>AD196</f>
        <v>0</v>
      </c>
      <c r="CZ196">
        <f>AH196</f>
        <v>0</v>
      </c>
      <c r="DA196">
        <f>AL196</f>
        <v>1</v>
      </c>
      <c r="DB196">
        <f>ROUND((ROUND(AT196*CZ196,2)*1.15),6)</f>
        <v>0</v>
      </c>
      <c r="DC196">
        <f>ROUND((ROUND(AT196*AG196,2)*1.15),6)</f>
        <v>0</v>
      </c>
      <c r="DD196" t="s">
        <v>3</v>
      </c>
      <c r="DE196" t="s">
        <v>3</v>
      </c>
      <c r="DF196">
        <f>ROUND(ROUND(AE196,2)*CX196,2)</f>
        <v>0</v>
      </c>
      <c r="DG196">
        <f>ROUND(ROUND(AF196,2)*CX196,2)</f>
        <v>0</v>
      </c>
      <c r="DH196">
        <f>ROUND(ROUND(AG196,2)*CX196,2)</f>
        <v>0</v>
      </c>
      <c r="DI196">
        <f t="shared" si="92"/>
        <v>0</v>
      </c>
      <c r="DJ196">
        <f>DI196</f>
        <v>0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ROW(Source!A201)</f>
        <v>201</v>
      </c>
      <c r="B197">
        <v>53860087</v>
      </c>
      <c r="C197">
        <v>53860784</v>
      </c>
      <c r="D197">
        <v>29580021</v>
      </c>
      <c r="E197">
        <v>1</v>
      </c>
      <c r="F197">
        <v>1</v>
      </c>
      <c r="G197">
        <v>29506949</v>
      </c>
      <c r="H197">
        <v>2</v>
      </c>
      <c r="I197" t="s">
        <v>763</v>
      </c>
      <c r="J197" t="s">
        <v>764</v>
      </c>
      <c r="K197" t="s">
        <v>765</v>
      </c>
      <c r="L197">
        <v>1368</v>
      </c>
      <c r="N197">
        <v>1011</v>
      </c>
      <c r="O197" t="s">
        <v>647</v>
      </c>
      <c r="P197" t="s">
        <v>647</v>
      </c>
      <c r="Q197">
        <v>1</v>
      </c>
      <c r="W197">
        <v>0</v>
      </c>
      <c r="X197">
        <v>727424910</v>
      </c>
      <c r="Y197">
        <f>(AT197*1.25)</f>
        <v>9.7750000000000004</v>
      </c>
      <c r="AA197">
        <v>0</v>
      </c>
      <c r="AB197">
        <v>2.34</v>
      </c>
      <c r="AC197">
        <v>0</v>
      </c>
      <c r="AD197">
        <v>0</v>
      </c>
      <c r="AE197">
        <v>0</v>
      </c>
      <c r="AF197">
        <v>0.23</v>
      </c>
      <c r="AG197">
        <v>0</v>
      </c>
      <c r="AH197">
        <v>0</v>
      </c>
      <c r="AI197">
        <v>1</v>
      </c>
      <c r="AJ197">
        <v>9.6999999999999993</v>
      </c>
      <c r="AK197">
        <v>30.1</v>
      </c>
      <c r="AL197">
        <v>1</v>
      </c>
      <c r="AM197">
        <v>2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7.82</v>
      </c>
      <c r="AU197" t="s">
        <v>51</v>
      </c>
      <c r="AV197">
        <v>0</v>
      </c>
      <c r="AW197">
        <v>2</v>
      </c>
      <c r="AX197">
        <v>53861329</v>
      </c>
      <c r="AY197">
        <v>1</v>
      </c>
      <c r="AZ197">
        <v>0</v>
      </c>
      <c r="BA197">
        <v>308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V197">
        <v>0</v>
      </c>
      <c r="CW197">
        <f>ROUND(Y197*Source!I201,9)</f>
        <v>26.392499999999998</v>
      </c>
      <c r="CX197">
        <f>ROUND(Y197*Source!I201,9)</f>
        <v>26.392499999999998</v>
      </c>
      <c r="CY197">
        <f>AB197</f>
        <v>2.34</v>
      </c>
      <c r="CZ197">
        <f>AF197</f>
        <v>0.23</v>
      </c>
      <c r="DA197">
        <f>AJ197</f>
        <v>9.6999999999999993</v>
      </c>
      <c r="DB197">
        <f>ROUND((ROUND(AT197*CZ197,2)*1.25),6)</f>
        <v>2.25</v>
      </c>
      <c r="DC197">
        <f>ROUND((ROUND(AT197*AG197,2)*1.25),6)</f>
        <v>0</v>
      </c>
      <c r="DD197" t="s">
        <v>3</v>
      </c>
      <c r="DE197" t="s">
        <v>3</v>
      </c>
      <c r="DF197">
        <f>ROUND(ROUND(AE197,2)*CX197,2)</f>
        <v>0</v>
      </c>
      <c r="DG197">
        <f>ROUND(ROUND(AF197*AJ197,2)*CX197,2)</f>
        <v>58.86</v>
      </c>
      <c r="DH197">
        <f>ROUND(ROUND(AG197*AK197,2)*CX197,2)</f>
        <v>0</v>
      </c>
      <c r="DI197">
        <f t="shared" si="92"/>
        <v>0</v>
      </c>
      <c r="DJ197">
        <f>DG197</f>
        <v>58.86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ROW(Source!A201)</f>
        <v>201</v>
      </c>
      <c r="B198">
        <v>53860087</v>
      </c>
      <c r="C198">
        <v>53860784</v>
      </c>
      <c r="D198">
        <v>29555598</v>
      </c>
      <c r="E198">
        <v>1</v>
      </c>
      <c r="F198">
        <v>1</v>
      </c>
      <c r="G198">
        <v>29506949</v>
      </c>
      <c r="H198">
        <v>3</v>
      </c>
      <c r="I198" t="s">
        <v>68</v>
      </c>
      <c r="J198" t="s">
        <v>71</v>
      </c>
      <c r="K198" t="s">
        <v>69</v>
      </c>
      <c r="L198">
        <v>1339</v>
      </c>
      <c r="N198">
        <v>1007</v>
      </c>
      <c r="O198" t="s">
        <v>70</v>
      </c>
      <c r="P198" t="s">
        <v>70</v>
      </c>
      <c r="Q198">
        <v>1</v>
      </c>
      <c r="W198">
        <v>0</v>
      </c>
      <c r="X198">
        <v>-862991314</v>
      </c>
      <c r="Y198">
        <f>AT198</f>
        <v>3.5</v>
      </c>
      <c r="AA198">
        <v>42.42</v>
      </c>
      <c r="AB198">
        <v>0</v>
      </c>
      <c r="AC198">
        <v>0</v>
      </c>
      <c r="AD198">
        <v>0</v>
      </c>
      <c r="AE198">
        <v>7.07</v>
      </c>
      <c r="AF198">
        <v>0</v>
      </c>
      <c r="AG198">
        <v>0</v>
      </c>
      <c r="AH198">
        <v>0</v>
      </c>
      <c r="AI198">
        <v>6</v>
      </c>
      <c r="AJ198">
        <v>1</v>
      </c>
      <c r="AK198">
        <v>1</v>
      </c>
      <c r="AL198">
        <v>1</v>
      </c>
      <c r="AM198">
        <v>2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3.5</v>
      </c>
      <c r="AU198" t="s">
        <v>3</v>
      </c>
      <c r="AV198">
        <v>0</v>
      </c>
      <c r="AW198">
        <v>2</v>
      </c>
      <c r="AX198">
        <v>53861330</v>
      </c>
      <c r="AY198">
        <v>1</v>
      </c>
      <c r="AZ198">
        <v>0</v>
      </c>
      <c r="BA198">
        <v>309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V198">
        <v>0</v>
      </c>
      <c r="CW198">
        <v>0</v>
      </c>
      <c r="CX198">
        <f>ROUND(Y198*Source!I201,9)</f>
        <v>9.4499999999999993</v>
      </c>
      <c r="CY198">
        <f>AA198</f>
        <v>42.42</v>
      </c>
      <c r="CZ198">
        <f>AE198</f>
        <v>7.07</v>
      </c>
      <c r="DA198">
        <f>AI198</f>
        <v>6</v>
      </c>
      <c r="DB198">
        <f>ROUND(ROUND(AT198*CZ198,2),6)</f>
        <v>24.75</v>
      </c>
      <c r="DC198">
        <f>ROUND(ROUND(AT198*AG198,2),6)</f>
        <v>0</v>
      </c>
      <c r="DD198" t="s">
        <v>3</v>
      </c>
      <c r="DE198" t="s">
        <v>3</v>
      </c>
      <c r="DF198">
        <f>ROUND(ROUND(AE198*AI198,2)*CX198,2)</f>
        <v>400.87</v>
      </c>
      <c r="DG198">
        <f>ROUND(ROUND(AF198,2)*CX198,2)</f>
        <v>0</v>
      </c>
      <c r="DH198">
        <f>ROUND(ROUND(AG198,2)*CX198,2)</f>
        <v>0</v>
      </c>
      <c r="DI198">
        <f t="shared" si="92"/>
        <v>0</v>
      </c>
      <c r="DJ198">
        <f>DF198</f>
        <v>400.87</v>
      </c>
      <c r="DK198">
        <v>0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ROW(Source!A201)</f>
        <v>201</v>
      </c>
      <c r="B199">
        <v>53860087</v>
      </c>
      <c r="C199">
        <v>53860784</v>
      </c>
      <c r="D199">
        <v>29574109</v>
      </c>
      <c r="E199">
        <v>1</v>
      </c>
      <c r="F199">
        <v>1</v>
      </c>
      <c r="G199">
        <v>29506949</v>
      </c>
      <c r="H199">
        <v>3</v>
      </c>
      <c r="I199" t="s">
        <v>414</v>
      </c>
      <c r="J199" t="s">
        <v>416</v>
      </c>
      <c r="K199" t="s">
        <v>415</v>
      </c>
      <c r="L199">
        <v>1339</v>
      </c>
      <c r="N199">
        <v>1007</v>
      </c>
      <c r="O199" t="s">
        <v>70</v>
      </c>
      <c r="P199" t="s">
        <v>70</v>
      </c>
      <c r="Q199">
        <v>1</v>
      </c>
      <c r="W199">
        <v>0</v>
      </c>
      <c r="X199">
        <v>590295705</v>
      </c>
      <c r="Y199">
        <f>AT199</f>
        <v>2.04</v>
      </c>
      <c r="AA199">
        <v>4583.6499999999996</v>
      </c>
      <c r="AB199">
        <v>0</v>
      </c>
      <c r="AC199">
        <v>0</v>
      </c>
      <c r="AD199">
        <v>0</v>
      </c>
      <c r="AE199">
        <v>478.96</v>
      </c>
      <c r="AF199">
        <v>0</v>
      </c>
      <c r="AG199">
        <v>0</v>
      </c>
      <c r="AH199">
        <v>0</v>
      </c>
      <c r="AI199">
        <v>9.57</v>
      </c>
      <c r="AJ199">
        <v>1</v>
      </c>
      <c r="AK199">
        <v>1</v>
      </c>
      <c r="AL199">
        <v>1</v>
      </c>
      <c r="AM199">
        <v>0</v>
      </c>
      <c r="AN199">
        <v>0</v>
      </c>
      <c r="AO199">
        <v>0</v>
      </c>
      <c r="AP199">
        <v>1</v>
      </c>
      <c r="AQ199">
        <v>0</v>
      </c>
      <c r="AR199">
        <v>0</v>
      </c>
      <c r="AS199" t="s">
        <v>3</v>
      </c>
      <c r="AT199">
        <v>2.04</v>
      </c>
      <c r="AU199" t="s">
        <v>3</v>
      </c>
      <c r="AV199">
        <v>0</v>
      </c>
      <c r="AW199">
        <v>1</v>
      </c>
      <c r="AX199">
        <v>-1</v>
      </c>
      <c r="AY199">
        <v>0</v>
      </c>
      <c r="AZ199">
        <v>0</v>
      </c>
      <c r="BA199" t="s">
        <v>3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V199">
        <v>0</v>
      </c>
      <c r="CW199">
        <v>0</v>
      </c>
      <c r="CX199">
        <f>ROUND(Y199*Source!I201,9)</f>
        <v>5.508</v>
      </c>
      <c r="CY199">
        <f>AA199</f>
        <v>4583.6499999999996</v>
      </c>
      <c r="CZ199">
        <f>AE199</f>
        <v>478.96</v>
      </c>
      <c r="DA199">
        <f>AI199</f>
        <v>9.57</v>
      </c>
      <c r="DB199">
        <f>ROUND(ROUND(AT199*CZ199,2),6)</f>
        <v>977.08</v>
      </c>
      <c r="DC199">
        <f>ROUND(ROUND(AT199*AG199,2),6)</f>
        <v>0</v>
      </c>
      <c r="DD199" t="s">
        <v>3</v>
      </c>
      <c r="DE199" t="s">
        <v>3</v>
      </c>
      <c r="DF199">
        <f>ROUND(ROUND(AE199*AI199,2)*CX199,2)</f>
        <v>25246.74</v>
      </c>
      <c r="DG199">
        <f>ROUND(ROUND(AF199,2)*CX199,2)</f>
        <v>0</v>
      </c>
      <c r="DH199">
        <f>ROUND(ROUND(AG199,2)*CX199,2)</f>
        <v>0</v>
      </c>
      <c r="DI199">
        <f t="shared" si="92"/>
        <v>0</v>
      </c>
      <c r="DJ199">
        <f>DF199</f>
        <v>25246.74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ROW(Source!A203)</f>
        <v>203</v>
      </c>
      <c r="B200">
        <v>53860087</v>
      </c>
      <c r="C200">
        <v>53860794</v>
      </c>
      <c r="D200">
        <v>29506954</v>
      </c>
      <c r="E200">
        <v>29506949</v>
      </c>
      <c r="F200">
        <v>1</v>
      </c>
      <c r="G200">
        <v>29506949</v>
      </c>
      <c r="H200">
        <v>1</v>
      </c>
      <c r="I200" t="s">
        <v>638</v>
      </c>
      <c r="J200" t="s">
        <v>3</v>
      </c>
      <c r="K200" t="s">
        <v>639</v>
      </c>
      <c r="L200">
        <v>1191</v>
      </c>
      <c r="N200">
        <v>1013</v>
      </c>
      <c r="O200" t="s">
        <v>640</v>
      </c>
      <c r="P200" t="s">
        <v>640</v>
      </c>
      <c r="Q200">
        <v>1</v>
      </c>
      <c r="W200">
        <v>0</v>
      </c>
      <c r="X200">
        <v>476480486</v>
      </c>
      <c r="Y200">
        <f>((AT200*1.15)*4)</f>
        <v>2.024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0.44</v>
      </c>
      <c r="AU200" t="s">
        <v>423</v>
      </c>
      <c r="AV200">
        <v>1</v>
      </c>
      <c r="AW200">
        <v>2</v>
      </c>
      <c r="AX200">
        <v>53861332</v>
      </c>
      <c r="AY200">
        <v>1</v>
      </c>
      <c r="AZ200">
        <v>0</v>
      </c>
      <c r="BA200">
        <v>311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U200">
        <f>ROUND(AT200*Source!I203*AH200*AL200,2)</f>
        <v>0</v>
      </c>
      <c r="CV200">
        <f>ROUND(Y200*Source!I203,9)</f>
        <v>5.4648000000000003</v>
      </c>
      <c r="CW200">
        <v>0</v>
      </c>
      <c r="CX200">
        <f>ROUND(Y200*Source!I203,9)</f>
        <v>5.4648000000000003</v>
      </c>
      <c r="CY200">
        <f>AD200</f>
        <v>0</v>
      </c>
      <c r="CZ200">
        <f>AH200</f>
        <v>0</v>
      </c>
      <c r="DA200">
        <f>AL200</f>
        <v>1</v>
      </c>
      <c r="DB200">
        <f>ROUND(((ROUND(AT200*CZ200,2)*1.15)*4),6)</f>
        <v>0</v>
      </c>
      <c r="DC200">
        <f>ROUND(((ROUND(AT200*AG200,2)*1.15)*4),6)</f>
        <v>0</v>
      </c>
      <c r="DD200" t="s">
        <v>3</v>
      </c>
      <c r="DE200" t="s">
        <v>3</v>
      </c>
      <c r="DF200">
        <f>ROUND(ROUND(AE200,2)*CX200,2)</f>
        <v>0</v>
      </c>
      <c r="DG200">
        <f>ROUND(ROUND(AF200,2)*CX200,2)</f>
        <v>0</v>
      </c>
      <c r="DH200">
        <f>ROUND(ROUND(AG200,2)*CX200,2)</f>
        <v>0</v>
      </c>
      <c r="DI200">
        <f t="shared" si="92"/>
        <v>0</v>
      </c>
      <c r="DJ200">
        <f>DI200</f>
        <v>0</v>
      </c>
      <c r="DK200">
        <v>0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ROW(Source!A203)</f>
        <v>203</v>
      </c>
      <c r="B201">
        <v>53860087</v>
      </c>
      <c r="C201">
        <v>53860794</v>
      </c>
      <c r="D201">
        <v>29580021</v>
      </c>
      <c r="E201">
        <v>1</v>
      </c>
      <c r="F201">
        <v>1</v>
      </c>
      <c r="G201">
        <v>29506949</v>
      </c>
      <c r="H201">
        <v>2</v>
      </c>
      <c r="I201" t="s">
        <v>763</v>
      </c>
      <c r="J201" t="s">
        <v>764</v>
      </c>
      <c r="K201" t="s">
        <v>765</v>
      </c>
      <c r="L201">
        <v>1368</v>
      </c>
      <c r="N201">
        <v>1011</v>
      </c>
      <c r="O201" t="s">
        <v>647</v>
      </c>
      <c r="P201" t="s">
        <v>647</v>
      </c>
      <c r="Q201">
        <v>1</v>
      </c>
      <c r="W201">
        <v>0</v>
      </c>
      <c r="X201">
        <v>727424910</v>
      </c>
      <c r="Y201">
        <f>((AT201*1.25)*4)</f>
        <v>10</v>
      </c>
      <c r="AA201">
        <v>0</v>
      </c>
      <c r="AB201">
        <v>2.34</v>
      </c>
      <c r="AC201">
        <v>0</v>
      </c>
      <c r="AD201">
        <v>0</v>
      </c>
      <c r="AE201">
        <v>0</v>
      </c>
      <c r="AF201">
        <v>0.23</v>
      </c>
      <c r="AG201">
        <v>0</v>
      </c>
      <c r="AH201">
        <v>0</v>
      </c>
      <c r="AI201">
        <v>1</v>
      </c>
      <c r="AJ201">
        <v>9.6999999999999993</v>
      </c>
      <c r="AK201">
        <v>30.1</v>
      </c>
      <c r="AL201">
        <v>1</v>
      </c>
      <c r="AM201">
        <v>2</v>
      </c>
      <c r="AN201">
        <v>0</v>
      </c>
      <c r="AO201">
        <v>1</v>
      </c>
      <c r="AP201">
        <v>1</v>
      </c>
      <c r="AQ201">
        <v>0</v>
      </c>
      <c r="AR201">
        <v>0</v>
      </c>
      <c r="AS201" t="s">
        <v>3</v>
      </c>
      <c r="AT201">
        <v>2</v>
      </c>
      <c r="AU201" t="s">
        <v>422</v>
      </c>
      <c r="AV201">
        <v>0</v>
      </c>
      <c r="AW201">
        <v>2</v>
      </c>
      <c r="AX201">
        <v>53861333</v>
      </c>
      <c r="AY201">
        <v>1</v>
      </c>
      <c r="AZ201">
        <v>0</v>
      </c>
      <c r="BA201">
        <v>312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V201">
        <v>0</v>
      </c>
      <c r="CW201">
        <f>ROUND(Y201*Source!I203,9)</f>
        <v>27</v>
      </c>
      <c r="CX201">
        <f>ROUND(Y201*Source!I203,9)</f>
        <v>27</v>
      </c>
      <c r="CY201">
        <f>AB201</f>
        <v>2.34</v>
      </c>
      <c r="CZ201">
        <f>AF201</f>
        <v>0.23</v>
      </c>
      <c r="DA201">
        <f>AJ201</f>
        <v>9.6999999999999993</v>
      </c>
      <c r="DB201">
        <f>ROUND(((ROUND(AT201*CZ201,2)*1.25)*4),6)</f>
        <v>2.2999999999999998</v>
      </c>
      <c r="DC201">
        <f>ROUND(((ROUND(AT201*AG201,2)*1.25)*4),6)</f>
        <v>0</v>
      </c>
      <c r="DD201" t="s">
        <v>3</v>
      </c>
      <c r="DE201" t="s">
        <v>3</v>
      </c>
      <c r="DF201">
        <f>ROUND(ROUND(AE201,2)*CX201,2)</f>
        <v>0</v>
      </c>
      <c r="DG201">
        <f>ROUND(ROUND(AF201*AJ201,2)*CX201,2)</f>
        <v>60.21</v>
      </c>
      <c r="DH201">
        <f>ROUND(ROUND(AG201*AK201,2)*CX201,2)</f>
        <v>0</v>
      </c>
      <c r="DI201">
        <f t="shared" si="92"/>
        <v>0</v>
      </c>
      <c r="DJ201">
        <f>DG201</f>
        <v>60.21</v>
      </c>
      <c r="DK201">
        <v>0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ROW(Source!A203)</f>
        <v>203</v>
      </c>
      <c r="B202">
        <v>53860087</v>
      </c>
      <c r="C202">
        <v>53860794</v>
      </c>
      <c r="D202">
        <v>29574109</v>
      </c>
      <c r="E202">
        <v>1</v>
      </c>
      <c r="F202">
        <v>1</v>
      </c>
      <c r="G202">
        <v>29506949</v>
      </c>
      <c r="H202">
        <v>3</v>
      </c>
      <c r="I202" t="s">
        <v>414</v>
      </c>
      <c r="J202" t="s">
        <v>416</v>
      </c>
      <c r="K202" t="s">
        <v>415</v>
      </c>
      <c r="L202">
        <v>1339</v>
      </c>
      <c r="N202">
        <v>1007</v>
      </c>
      <c r="O202" t="s">
        <v>70</v>
      </c>
      <c r="P202" t="s">
        <v>70</v>
      </c>
      <c r="Q202">
        <v>1</v>
      </c>
      <c r="W202">
        <v>0</v>
      </c>
      <c r="X202">
        <v>590295705</v>
      </c>
      <c r="Y202">
        <f>(AT202*4)</f>
        <v>2.04</v>
      </c>
      <c r="AA202">
        <v>4583.6499999999996</v>
      </c>
      <c r="AB202">
        <v>0</v>
      </c>
      <c r="AC202">
        <v>0</v>
      </c>
      <c r="AD202">
        <v>0</v>
      </c>
      <c r="AE202">
        <v>478.96</v>
      </c>
      <c r="AF202">
        <v>0</v>
      </c>
      <c r="AG202">
        <v>0</v>
      </c>
      <c r="AH202">
        <v>0</v>
      </c>
      <c r="AI202">
        <v>9.57</v>
      </c>
      <c r="AJ202">
        <v>1</v>
      </c>
      <c r="AK202">
        <v>1</v>
      </c>
      <c r="AL202">
        <v>1</v>
      </c>
      <c r="AM202">
        <v>0</v>
      </c>
      <c r="AN202">
        <v>0</v>
      </c>
      <c r="AO202">
        <v>0</v>
      </c>
      <c r="AP202">
        <v>1</v>
      </c>
      <c r="AQ202">
        <v>0</v>
      </c>
      <c r="AR202">
        <v>0</v>
      </c>
      <c r="AS202" t="s">
        <v>3</v>
      </c>
      <c r="AT202">
        <v>0.51</v>
      </c>
      <c r="AU202" t="s">
        <v>421</v>
      </c>
      <c r="AV202">
        <v>0</v>
      </c>
      <c r="AW202">
        <v>1</v>
      </c>
      <c r="AX202">
        <v>-1</v>
      </c>
      <c r="AY202">
        <v>0</v>
      </c>
      <c r="AZ202">
        <v>0</v>
      </c>
      <c r="BA202" t="s">
        <v>3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V202">
        <v>0</v>
      </c>
      <c r="CW202">
        <v>0</v>
      </c>
      <c r="CX202">
        <f>ROUND(Y202*Source!I203,9)</f>
        <v>5.508</v>
      </c>
      <c r="CY202">
        <f>AA202</f>
        <v>4583.6499999999996</v>
      </c>
      <c r="CZ202">
        <f>AE202</f>
        <v>478.96</v>
      </c>
      <c r="DA202">
        <f>AI202</f>
        <v>9.57</v>
      </c>
      <c r="DB202">
        <f>ROUND((ROUND(AT202*CZ202,2)*4),6)</f>
        <v>977.08</v>
      </c>
      <c r="DC202">
        <f>ROUND((ROUND(AT202*AG202,2)*4),6)</f>
        <v>0</v>
      </c>
      <c r="DD202" t="s">
        <v>3</v>
      </c>
      <c r="DE202" t="s">
        <v>3</v>
      </c>
      <c r="DF202">
        <f>ROUND(ROUND(AE202*AI202,2)*CX202,2)</f>
        <v>25246.74</v>
      </c>
      <c r="DG202">
        <f>ROUND(ROUND(AF202,2)*CX202,2)</f>
        <v>0</v>
      </c>
      <c r="DH202">
        <f>ROUND(ROUND(AG202,2)*CX202,2)</f>
        <v>0</v>
      </c>
      <c r="DI202">
        <f t="shared" si="92"/>
        <v>0</v>
      </c>
      <c r="DJ202">
        <f>DF202</f>
        <v>25246.74</v>
      </c>
      <c r="DK202">
        <v>0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ROW(Source!A205)</f>
        <v>205</v>
      </c>
      <c r="B203">
        <v>53860087</v>
      </c>
      <c r="C203">
        <v>53860802</v>
      </c>
      <c r="D203">
        <v>29506954</v>
      </c>
      <c r="E203">
        <v>29506949</v>
      </c>
      <c r="F203">
        <v>1</v>
      </c>
      <c r="G203">
        <v>29506949</v>
      </c>
      <c r="H203">
        <v>1</v>
      </c>
      <c r="I203" t="s">
        <v>638</v>
      </c>
      <c r="J203" t="s">
        <v>3</v>
      </c>
      <c r="K203" t="s">
        <v>639</v>
      </c>
      <c r="L203">
        <v>1191</v>
      </c>
      <c r="N203">
        <v>1013</v>
      </c>
      <c r="O203" t="s">
        <v>640</v>
      </c>
      <c r="P203" t="s">
        <v>640</v>
      </c>
      <c r="Q203">
        <v>1</v>
      </c>
      <c r="W203">
        <v>0</v>
      </c>
      <c r="X203">
        <v>476480486</v>
      </c>
      <c r="Y203">
        <f>(AT203*1.15)</f>
        <v>13.339999999999998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1</v>
      </c>
      <c r="AP203">
        <v>1</v>
      </c>
      <c r="AQ203">
        <v>0</v>
      </c>
      <c r="AR203">
        <v>0</v>
      </c>
      <c r="AS203" t="s">
        <v>3</v>
      </c>
      <c r="AT203">
        <v>11.6</v>
      </c>
      <c r="AU203" t="s">
        <v>52</v>
      </c>
      <c r="AV203">
        <v>1</v>
      </c>
      <c r="AW203">
        <v>2</v>
      </c>
      <c r="AX203">
        <v>53861335</v>
      </c>
      <c r="AY203">
        <v>1</v>
      </c>
      <c r="AZ203">
        <v>0</v>
      </c>
      <c r="BA203">
        <v>314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U203">
        <f>ROUND(AT203*Source!I205*AH203*AL203,2)</f>
        <v>0</v>
      </c>
      <c r="CV203">
        <f>ROUND(Y203*Source!I205,9)</f>
        <v>11.52576</v>
      </c>
      <c r="CW203">
        <v>0</v>
      </c>
      <c r="CX203">
        <f>ROUND(Y203*Source!I205,9)</f>
        <v>11.52576</v>
      </c>
      <c r="CY203">
        <f>AD203</f>
        <v>0</v>
      </c>
      <c r="CZ203">
        <f>AH203</f>
        <v>0</v>
      </c>
      <c r="DA203">
        <f>AL203</f>
        <v>1</v>
      </c>
      <c r="DB203">
        <f>ROUND((ROUND(AT203*CZ203,2)*1.15),6)</f>
        <v>0</v>
      </c>
      <c r="DC203">
        <f>ROUND((ROUND(AT203*AG203,2)*1.15),6)</f>
        <v>0</v>
      </c>
      <c r="DD203" t="s">
        <v>3</v>
      </c>
      <c r="DE203" t="s">
        <v>3</v>
      </c>
      <c r="DF203">
        <f>ROUND(ROUND(AE203,2)*CX203,2)</f>
        <v>0</v>
      </c>
      <c r="DG203">
        <f>ROUND(ROUND(AF203,2)*CX203,2)</f>
        <v>0</v>
      </c>
      <c r="DH203">
        <f>ROUND(ROUND(AG203,2)*CX203,2)</f>
        <v>0</v>
      </c>
      <c r="DI203">
        <f t="shared" si="92"/>
        <v>0</v>
      </c>
      <c r="DJ203">
        <f>DI203</f>
        <v>0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ROW(Source!A205)</f>
        <v>205</v>
      </c>
      <c r="B204">
        <v>53860087</v>
      </c>
      <c r="C204">
        <v>53860802</v>
      </c>
      <c r="D204">
        <v>29580491</v>
      </c>
      <c r="E204">
        <v>1</v>
      </c>
      <c r="F204">
        <v>1</v>
      </c>
      <c r="G204">
        <v>29506949</v>
      </c>
      <c r="H204">
        <v>2</v>
      </c>
      <c r="I204" t="s">
        <v>650</v>
      </c>
      <c r="J204" t="s">
        <v>651</v>
      </c>
      <c r="K204" t="s">
        <v>652</v>
      </c>
      <c r="L204">
        <v>1368</v>
      </c>
      <c r="N204">
        <v>1011</v>
      </c>
      <c r="O204" t="s">
        <v>647</v>
      </c>
      <c r="P204" t="s">
        <v>647</v>
      </c>
      <c r="Q204">
        <v>1</v>
      </c>
      <c r="W204">
        <v>0</v>
      </c>
      <c r="X204">
        <v>-1440889904</v>
      </c>
      <c r="Y204">
        <f>(AT204*1.25)</f>
        <v>0.25</v>
      </c>
      <c r="AA204">
        <v>0</v>
      </c>
      <c r="AB204">
        <v>1051.9000000000001</v>
      </c>
      <c r="AC204">
        <v>397.72</v>
      </c>
      <c r="AD204">
        <v>0</v>
      </c>
      <c r="AE204">
        <v>0</v>
      </c>
      <c r="AF204">
        <v>83.1</v>
      </c>
      <c r="AG204">
        <v>12.62</v>
      </c>
      <c r="AH204">
        <v>0</v>
      </c>
      <c r="AI204">
        <v>1</v>
      </c>
      <c r="AJ204">
        <v>12.09</v>
      </c>
      <c r="AK204">
        <v>30.1</v>
      </c>
      <c r="AL204">
        <v>1</v>
      </c>
      <c r="AM204">
        <v>2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3</v>
      </c>
      <c r="AT204">
        <v>0.2</v>
      </c>
      <c r="AU204" t="s">
        <v>51</v>
      </c>
      <c r="AV204">
        <v>0</v>
      </c>
      <c r="AW204">
        <v>2</v>
      </c>
      <c r="AX204">
        <v>53861336</v>
      </c>
      <c r="AY204">
        <v>1</v>
      </c>
      <c r="AZ204">
        <v>0</v>
      </c>
      <c r="BA204">
        <v>315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V204">
        <v>0</v>
      </c>
      <c r="CW204">
        <f>ROUND(Y204*Source!I205,9)</f>
        <v>0.216</v>
      </c>
      <c r="CX204">
        <f>ROUND(Y204*Source!I205,9)</f>
        <v>0.216</v>
      </c>
      <c r="CY204">
        <f>AB204</f>
        <v>1051.9000000000001</v>
      </c>
      <c r="CZ204">
        <f>AF204</f>
        <v>83.1</v>
      </c>
      <c r="DA204">
        <f>AJ204</f>
        <v>12.09</v>
      </c>
      <c r="DB204">
        <f>ROUND((ROUND(AT204*CZ204,2)*1.25),6)</f>
        <v>20.774999999999999</v>
      </c>
      <c r="DC204">
        <f>ROUND((ROUND(AT204*AG204,2)*1.25),6)</f>
        <v>3.15</v>
      </c>
      <c r="DD204" t="s">
        <v>3</v>
      </c>
      <c r="DE204" t="s">
        <v>3</v>
      </c>
      <c r="DF204">
        <f>ROUND(ROUND(AE204,2)*CX204,2)</f>
        <v>0</v>
      </c>
      <c r="DG204">
        <f>ROUND(ROUND(AF204*AJ204,2)*CX204,2)</f>
        <v>217.01</v>
      </c>
      <c r="DH204">
        <f>ROUND(ROUND(AG204*AK204,2)*CX204,2)</f>
        <v>82.05</v>
      </c>
      <c r="DI204">
        <f t="shared" si="92"/>
        <v>0</v>
      </c>
      <c r="DJ204">
        <f>DG204</f>
        <v>217.01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ROW(Source!A205)</f>
        <v>205</v>
      </c>
      <c r="B205">
        <v>53860087</v>
      </c>
      <c r="C205">
        <v>53860802</v>
      </c>
      <c r="D205">
        <v>29579738</v>
      </c>
      <c r="E205">
        <v>1</v>
      </c>
      <c r="F205">
        <v>1</v>
      </c>
      <c r="G205">
        <v>29506949</v>
      </c>
      <c r="H205">
        <v>2</v>
      </c>
      <c r="I205" t="s">
        <v>665</v>
      </c>
      <c r="J205" t="s">
        <v>666</v>
      </c>
      <c r="K205" t="s">
        <v>667</v>
      </c>
      <c r="L205">
        <v>1368</v>
      </c>
      <c r="N205">
        <v>1011</v>
      </c>
      <c r="O205" t="s">
        <v>647</v>
      </c>
      <c r="P205" t="s">
        <v>647</v>
      </c>
      <c r="Q205">
        <v>1</v>
      </c>
      <c r="W205">
        <v>0</v>
      </c>
      <c r="X205">
        <v>1668154095</v>
      </c>
      <c r="Y205">
        <f>(AT205*1.25)</f>
        <v>0.1875</v>
      </c>
      <c r="AA205">
        <v>0</v>
      </c>
      <c r="AB205">
        <v>2050.37</v>
      </c>
      <c r="AC205">
        <v>533.54</v>
      </c>
      <c r="AD205">
        <v>0</v>
      </c>
      <c r="AE205">
        <v>0</v>
      </c>
      <c r="AF205">
        <v>179.17</v>
      </c>
      <c r="AG205">
        <v>16.93</v>
      </c>
      <c r="AH205">
        <v>0</v>
      </c>
      <c r="AI205">
        <v>1</v>
      </c>
      <c r="AJ205">
        <v>10.93</v>
      </c>
      <c r="AK205">
        <v>30.1</v>
      </c>
      <c r="AL205">
        <v>1</v>
      </c>
      <c r="AM205">
        <v>2</v>
      </c>
      <c r="AN205">
        <v>0</v>
      </c>
      <c r="AO205">
        <v>1</v>
      </c>
      <c r="AP205">
        <v>1</v>
      </c>
      <c r="AQ205">
        <v>0</v>
      </c>
      <c r="AR205">
        <v>0</v>
      </c>
      <c r="AS205" t="s">
        <v>3</v>
      </c>
      <c r="AT205">
        <v>0.15</v>
      </c>
      <c r="AU205" t="s">
        <v>51</v>
      </c>
      <c r="AV205">
        <v>0</v>
      </c>
      <c r="AW205">
        <v>2</v>
      </c>
      <c r="AX205">
        <v>53861337</v>
      </c>
      <c r="AY205">
        <v>1</v>
      </c>
      <c r="AZ205">
        <v>0</v>
      </c>
      <c r="BA205">
        <v>316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V205">
        <v>0</v>
      </c>
      <c r="CW205">
        <f>ROUND(Y205*Source!I205,9)</f>
        <v>0.16200000000000001</v>
      </c>
      <c r="CX205">
        <f>ROUND(Y205*Source!I205,9)</f>
        <v>0.16200000000000001</v>
      </c>
      <c r="CY205">
        <f>AB205</f>
        <v>2050.37</v>
      </c>
      <c r="CZ205">
        <f>AF205</f>
        <v>179.17</v>
      </c>
      <c r="DA205">
        <f>AJ205</f>
        <v>10.93</v>
      </c>
      <c r="DB205">
        <f>ROUND((ROUND(AT205*CZ205,2)*1.25),6)</f>
        <v>33.6</v>
      </c>
      <c r="DC205">
        <f>ROUND((ROUND(AT205*AG205,2)*1.25),6)</f>
        <v>3.1749999999999998</v>
      </c>
      <c r="DD205" t="s">
        <v>3</v>
      </c>
      <c r="DE205" t="s">
        <v>3</v>
      </c>
      <c r="DF205">
        <f>ROUND(ROUND(AE205,2)*CX205,2)</f>
        <v>0</v>
      </c>
      <c r="DG205">
        <f>ROUND(ROUND(AF205*AJ205,2)*CX205,2)</f>
        <v>317.25</v>
      </c>
      <c r="DH205">
        <f>ROUND(ROUND(AG205*AK205,2)*CX205,2)</f>
        <v>82.55</v>
      </c>
      <c r="DI205">
        <f t="shared" si="92"/>
        <v>0</v>
      </c>
      <c r="DJ205">
        <f>DG205</f>
        <v>317.25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ROW(Source!A205)</f>
        <v>205</v>
      </c>
      <c r="B206">
        <v>53860087</v>
      </c>
      <c r="C206">
        <v>53860802</v>
      </c>
      <c r="D206">
        <v>29556332</v>
      </c>
      <c r="E206">
        <v>1</v>
      </c>
      <c r="F206">
        <v>1</v>
      </c>
      <c r="G206">
        <v>29506949</v>
      </c>
      <c r="H206">
        <v>3</v>
      </c>
      <c r="I206" t="s">
        <v>766</v>
      </c>
      <c r="J206" t="s">
        <v>767</v>
      </c>
      <c r="K206" t="s">
        <v>768</v>
      </c>
      <c r="L206">
        <v>1348</v>
      </c>
      <c r="N206">
        <v>1009</v>
      </c>
      <c r="O206" t="s">
        <v>75</v>
      </c>
      <c r="P206" t="s">
        <v>75</v>
      </c>
      <c r="Q206">
        <v>1000</v>
      </c>
      <c r="W206">
        <v>0</v>
      </c>
      <c r="X206">
        <v>1052826961</v>
      </c>
      <c r="Y206">
        <f>AT206</f>
        <v>2.8000000000000001E-2</v>
      </c>
      <c r="AA206">
        <v>77020.7</v>
      </c>
      <c r="AB206">
        <v>0</v>
      </c>
      <c r="AC206">
        <v>0</v>
      </c>
      <c r="AD206">
        <v>0</v>
      </c>
      <c r="AE206">
        <v>9246.9599999999991</v>
      </c>
      <c r="AF206">
        <v>0</v>
      </c>
      <c r="AG206">
        <v>0</v>
      </c>
      <c r="AH206">
        <v>0</v>
      </c>
      <c r="AI206">
        <v>8.15</v>
      </c>
      <c r="AJ206">
        <v>1</v>
      </c>
      <c r="AK206">
        <v>1</v>
      </c>
      <c r="AL206">
        <v>1</v>
      </c>
      <c r="AM206">
        <v>2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2.8000000000000001E-2</v>
      </c>
      <c r="AU206" t="s">
        <v>3</v>
      </c>
      <c r="AV206">
        <v>0</v>
      </c>
      <c r="AW206">
        <v>2</v>
      </c>
      <c r="AX206">
        <v>53861339</v>
      </c>
      <c r="AY206">
        <v>1</v>
      </c>
      <c r="AZ206">
        <v>0</v>
      </c>
      <c r="BA206">
        <v>318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V206">
        <v>0</v>
      </c>
      <c r="CW206">
        <v>0</v>
      </c>
      <c r="CX206">
        <f>ROUND(Y206*Source!I205,9)</f>
        <v>2.4192000000000002E-2</v>
      </c>
      <c r="CY206">
        <f>AA206</f>
        <v>77020.7</v>
      </c>
      <c r="CZ206">
        <f>AE206</f>
        <v>9246.9599999999991</v>
      </c>
      <c r="DA206">
        <f>AI206</f>
        <v>8.15</v>
      </c>
      <c r="DB206">
        <f>ROUND(ROUND(AT206*CZ206,2),6)</f>
        <v>258.91000000000003</v>
      </c>
      <c r="DC206">
        <f>ROUND(ROUND(AT206*AG206,2),6)</f>
        <v>0</v>
      </c>
      <c r="DD206" t="s">
        <v>3</v>
      </c>
      <c r="DE206" t="s">
        <v>3</v>
      </c>
      <c r="DF206">
        <f>ROUND(ROUND(AE206*AI206,2)*CX206,2)</f>
        <v>1823.17</v>
      </c>
      <c r="DG206">
        <f>ROUND(ROUND(AF206,2)*CX206,2)</f>
        <v>0</v>
      </c>
      <c r="DH206">
        <f>ROUND(ROUND(AG206,2)*CX206,2)</f>
        <v>0</v>
      </c>
      <c r="DI206">
        <f t="shared" si="92"/>
        <v>0</v>
      </c>
      <c r="DJ206">
        <f>DF206</f>
        <v>1823.17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ROW(Source!A205)</f>
        <v>205</v>
      </c>
      <c r="B207">
        <v>53860087</v>
      </c>
      <c r="C207">
        <v>53860802</v>
      </c>
      <c r="D207">
        <v>29574375</v>
      </c>
      <c r="E207">
        <v>1</v>
      </c>
      <c r="F207">
        <v>1</v>
      </c>
      <c r="G207">
        <v>29506949</v>
      </c>
      <c r="H207">
        <v>3</v>
      </c>
      <c r="I207" t="s">
        <v>433</v>
      </c>
      <c r="J207" t="s">
        <v>435</v>
      </c>
      <c r="K207" t="s">
        <v>434</v>
      </c>
      <c r="L207">
        <v>1348</v>
      </c>
      <c r="N207">
        <v>1009</v>
      </c>
      <c r="O207" t="s">
        <v>75</v>
      </c>
      <c r="P207" t="s">
        <v>75</v>
      </c>
      <c r="Q207">
        <v>1000</v>
      </c>
      <c r="W207">
        <v>0</v>
      </c>
      <c r="X207">
        <v>-78243209</v>
      </c>
      <c r="Y207">
        <f>AT207</f>
        <v>1</v>
      </c>
      <c r="AA207">
        <v>43272.31</v>
      </c>
      <c r="AB207">
        <v>0</v>
      </c>
      <c r="AC207">
        <v>0</v>
      </c>
      <c r="AD207">
        <v>0</v>
      </c>
      <c r="AE207">
        <v>9733.52</v>
      </c>
      <c r="AF207">
        <v>0</v>
      </c>
      <c r="AG207">
        <v>0</v>
      </c>
      <c r="AH207">
        <v>0</v>
      </c>
      <c r="AI207">
        <v>4.3499999999999996</v>
      </c>
      <c r="AJ207">
        <v>1</v>
      </c>
      <c r="AK207">
        <v>1</v>
      </c>
      <c r="AL207">
        <v>1</v>
      </c>
      <c r="AM207">
        <v>0</v>
      </c>
      <c r="AN207">
        <v>0</v>
      </c>
      <c r="AO207">
        <v>0</v>
      </c>
      <c r="AP207">
        <v>1</v>
      </c>
      <c r="AQ207">
        <v>0</v>
      </c>
      <c r="AR207">
        <v>0</v>
      </c>
      <c r="AS207" t="s">
        <v>3</v>
      </c>
      <c r="AT207">
        <v>1</v>
      </c>
      <c r="AU207" t="s">
        <v>3</v>
      </c>
      <c r="AV207">
        <v>0</v>
      </c>
      <c r="AW207">
        <v>1</v>
      </c>
      <c r="AX207">
        <v>-1</v>
      </c>
      <c r="AY207">
        <v>0</v>
      </c>
      <c r="AZ207">
        <v>0</v>
      </c>
      <c r="BA207" t="s">
        <v>3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V207">
        <v>0</v>
      </c>
      <c r="CW207">
        <v>0</v>
      </c>
      <c r="CX207">
        <f>ROUND(Y207*Source!I205,9)</f>
        <v>0.86399999999999999</v>
      </c>
      <c r="CY207">
        <f>AA207</f>
        <v>43272.31</v>
      </c>
      <c r="CZ207">
        <f>AE207</f>
        <v>9733.52</v>
      </c>
      <c r="DA207">
        <f>AI207</f>
        <v>4.3499999999999996</v>
      </c>
      <c r="DB207">
        <f>ROUND(ROUND(AT207*CZ207,2),6)</f>
        <v>9733.52</v>
      </c>
      <c r="DC207">
        <f>ROUND(ROUND(AT207*AG207,2),6)</f>
        <v>0</v>
      </c>
      <c r="DD207" t="s">
        <v>3</v>
      </c>
      <c r="DE207" t="s">
        <v>3</v>
      </c>
      <c r="DF207">
        <f>ROUND(ROUND(AE207*AI207,2)*CX207,2)</f>
        <v>36582.46</v>
      </c>
      <c r="DG207">
        <f>ROUND(ROUND(AF207,2)*CX207,2)</f>
        <v>0</v>
      </c>
      <c r="DH207">
        <f>ROUND(ROUND(AG207,2)*CX207,2)</f>
        <v>0</v>
      </c>
      <c r="DI207">
        <f t="shared" si="92"/>
        <v>0</v>
      </c>
      <c r="DJ207">
        <f>DF207</f>
        <v>36582.46</v>
      </c>
      <c r="DK207">
        <v>0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ROW(Source!A207)</f>
        <v>207</v>
      </c>
      <c r="B208">
        <v>53860087</v>
      </c>
      <c r="C208">
        <v>53860814</v>
      </c>
      <c r="D208">
        <v>29506954</v>
      </c>
      <c r="E208">
        <v>29506949</v>
      </c>
      <c r="F208">
        <v>1</v>
      </c>
      <c r="G208">
        <v>29506949</v>
      </c>
      <c r="H208">
        <v>1</v>
      </c>
      <c r="I208" t="s">
        <v>638</v>
      </c>
      <c r="J208" t="s">
        <v>3</v>
      </c>
      <c r="K208" t="s">
        <v>639</v>
      </c>
      <c r="L208">
        <v>1191</v>
      </c>
      <c r="N208">
        <v>1013</v>
      </c>
      <c r="O208" t="s">
        <v>640</v>
      </c>
      <c r="P208" t="s">
        <v>640</v>
      </c>
      <c r="Q208">
        <v>1</v>
      </c>
      <c r="W208">
        <v>0</v>
      </c>
      <c r="X208">
        <v>476480486</v>
      </c>
      <c r="Y208">
        <f>(AT208*1.15)</f>
        <v>96.691999999999993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84.08</v>
      </c>
      <c r="AU208" t="s">
        <v>52</v>
      </c>
      <c r="AV208">
        <v>1</v>
      </c>
      <c r="AW208">
        <v>2</v>
      </c>
      <c r="AX208">
        <v>53861340</v>
      </c>
      <c r="AY208">
        <v>1</v>
      </c>
      <c r="AZ208">
        <v>0</v>
      </c>
      <c r="BA208">
        <v>319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U208">
        <f>ROUND(AT208*Source!I207*AH208*AL208,2)</f>
        <v>0</v>
      </c>
      <c r="CV208">
        <f>ROUND(Y208*Source!I207,9)</f>
        <v>145.03800000000001</v>
      </c>
      <c r="CW208">
        <v>0</v>
      </c>
      <c r="CX208">
        <f>ROUND(Y208*Source!I207,9)</f>
        <v>145.03800000000001</v>
      </c>
      <c r="CY208">
        <f>AD208</f>
        <v>0</v>
      </c>
      <c r="CZ208">
        <f>AH208</f>
        <v>0</v>
      </c>
      <c r="DA208">
        <f>AL208</f>
        <v>1</v>
      </c>
      <c r="DB208">
        <f>ROUND((ROUND(AT208*CZ208,2)*1.15),6)</f>
        <v>0</v>
      </c>
      <c r="DC208">
        <f>ROUND((ROUND(AT208*AG208,2)*1.15),6)</f>
        <v>0</v>
      </c>
      <c r="DD208" t="s">
        <v>3</v>
      </c>
      <c r="DE208" t="s">
        <v>3</v>
      </c>
      <c r="DF208">
        <f>ROUND(ROUND(AE208,2)*CX208,2)</f>
        <v>0</v>
      </c>
      <c r="DG208">
        <f>ROUND(ROUND(AF208,2)*CX208,2)</f>
        <v>0</v>
      </c>
      <c r="DH208">
        <f>ROUND(ROUND(AG208,2)*CX208,2)</f>
        <v>0</v>
      </c>
      <c r="DI208">
        <f t="shared" si="92"/>
        <v>0</v>
      </c>
      <c r="DJ208">
        <f>DI208</f>
        <v>0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ROW(Source!A207)</f>
        <v>207</v>
      </c>
      <c r="B209">
        <v>53860087</v>
      </c>
      <c r="C209">
        <v>53860814</v>
      </c>
      <c r="D209">
        <v>29580613</v>
      </c>
      <c r="E209">
        <v>1</v>
      </c>
      <c r="F209">
        <v>1</v>
      </c>
      <c r="G209">
        <v>29506949</v>
      </c>
      <c r="H209">
        <v>2</v>
      </c>
      <c r="I209" t="s">
        <v>769</v>
      </c>
      <c r="J209" t="s">
        <v>770</v>
      </c>
      <c r="K209" t="s">
        <v>771</v>
      </c>
      <c r="L209">
        <v>1368</v>
      </c>
      <c r="N209">
        <v>1011</v>
      </c>
      <c r="O209" t="s">
        <v>647</v>
      </c>
      <c r="P209" t="s">
        <v>647</v>
      </c>
      <c r="Q209">
        <v>1</v>
      </c>
      <c r="W209">
        <v>0</v>
      </c>
      <c r="X209">
        <v>-694940319</v>
      </c>
      <c r="Y209">
        <f>(AT209*1.25)</f>
        <v>33.862499999999997</v>
      </c>
      <c r="AA209">
        <v>0</v>
      </c>
      <c r="AB209">
        <v>7.06</v>
      </c>
      <c r="AC209">
        <v>0</v>
      </c>
      <c r="AD209">
        <v>0</v>
      </c>
      <c r="AE209">
        <v>0</v>
      </c>
      <c r="AF209">
        <v>0.8</v>
      </c>
      <c r="AG209">
        <v>0</v>
      </c>
      <c r="AH209">
        <v>0</v>
      </c>
      <c r="AI209">
        <v>1</v>
      </c>
      <c r="AJ209">
        <v>8.43</v>
      </c>
      <c r="AK209">
        <v>30.1</v>
      </c>
      <c r="AL209">
        <v>1</v>
      </c>
      <c r="AM209">
        <v>2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27.09</v>
      </c>
      <c r="AU209" t="s">
        <v>51</v>
      </c>
      <c r="AV209">
        <v>0</v>
      </c>
      <c r="AW209">
        <v>2</v>
      </c>
      <c r="AX209">
        <v>53861342</v>
      </c>
      <c r="AY209">
        <v>1</v>
      </c>
      <c r="AZ209">
        <v>0</v>
      </c>
      <c r="BA209">
        <v>321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V209">
        <v>0</v>
      </c>
      <c r="CW209">
        <f>ROUND(Y209*Source!I207,9)</f>
        <v>50.793750000000003</v>
      </c>
      <c r="CX209">
        <f>ROUND(Y209*Source!I207,9)</f>
        <v>50.793750000000003</v>
      </c>
      <c r="CY209">
        <f>AB209</f>
        <v>7.06</v>
      </c>
      <c r="CZ209">
        <f>AF209</f>
        <v>0.8</v>
      </c>
      <c r="DA209">
        <f>AJ209</f>
        <v>8.43</v>
      </c>
      <c r="DB209">
        <f>ROUND((ROUND(AT209*CZ209,2)*1.25),6)</f>
        <v>27.087499999999999</v>
      </c>
      <c r="DC209">
        <f>ROUND((ROUND(AT209*AG209,2)*1.25),6)</f>
        <v>0</v>
      </c>
      <c r="DD209" t="s">
        <v>3</v>
      </c>
      <c r="DE209" t="s">
        <v>3</v>
      </c>
      <c r="DF209">
        <f>ROUND(ROUND(AE209,2)*CX209,2)</f>
        <v>0</v>
      </c>
      <c r="DG209">
        <f>ROUND(ROUND(AF209*AJ209,2)*CX209,2)</f>
        <v>342.35</v>
      </c>
      <c r="DH209">
        <f>ROUND(ROUND(AG209*AK209,2)*CX209,2)</f>
        <v>0</v>
      </c>
      <c r="DI209">
        <f t="shared" si="92"/>
        <v>0</v>
      </c>
      <c r="DJ209">
        <f>DG209</f>
        <v>342.35</v>
      </c>
      <c r="DK209">
        <v>0</v>
      </c>
      <c r="DL209" t="s">
        <v>3</v>
      </c>
      <c r="DM209">
        <v>0</v>
      </c>
      <c r="DN209" t="s">
        <v>3</v>
      </c>
      <c r="DO209">
        <v>0</v>
      </c>
    </row>
    <row r="210" spans="1:119" x14ac:dyDescent="0.2">
      <c r="A210">
        <f>ROW(Source!A207)</f>
        <v>207</v>
      </c>
      <c r="B210">
        <v>53860087</v>
      </c>
      <c r="C210">
        <v>53860814</v>
      </c>
      <c r="D210">
        <v>29580553</v>
      </c>
      <c r="E210">
        <v>1</v>
      </c>
      <c r="F210">
        <v>1</v>
      </c>
      <c r="G210">
        <v>29506949</v>
      </c>
      <c r="H210">
        <v>2</v>
      </c>
      <c r="I210" t="s">
        <v>772</v>
      </c>
      <c r="J210" t="s">
        <v>773</v>
      </c>
      <c r="K210" t="s">
        <v>774</v>
      </c>
      <c r="L210">
        <v>1368</v>
      </c>
      <c r="N210">
        <v>1011</v>
      </c>
      <c r="O210" t="s">
        <v>647</v>
      </c>
      <c r="P210" t="s">
        <v>647</v>
      </c>
      <c r="Q210">
        <v>1</v>
      </c>
      <c r="W210">
        <v>0</v>
      </c>
      <c r="X210">
        <v>-445654203</v>
      </c>
      <c r="Y210">
        <f>(AT210*1.25)</f>
        <v>0.38750000000000001</v>
      </c>
      <c r="AA210">
        <v>0</v>
      </c>
      <c r="AB210">
        <v>446.65</v>
      </c>
      <c r="AC210">
        <v>397.72</v>
      </c>
      <c r="AD210">
        <v>0</v>
      </c>
      <c r="AE210">
        <v>0</v>
      </c>
      <c r="AF210">
        <v>14.54</v>
      </c>
      <c r="AG210">
        <v>12.62</v>
      </c>
      <c r="AH210">
        <v>0</v>
      </c>
      <c r="AI210">
        <v>1</v>
      </c>
      <c r="AJ210">
        <v>29.34</v>
      </c>
      <c r="AK210">
        <v>30.1</v>
      </c>
      <c r="AL210">
        <v>1</v>
      </c>
      <c r="AM210">
        <v>2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0.31</v>
      </c>
      <c r="AU210" t="s">
        <v>51</v>
      </c>
      <c r="AV210">
        <v>0</v>
      </c>
      <c r="AW210">
        <v>2</v>
      </c>
      <c r="AX210">
        <v>53861343</v>
      </c>
      <c r="AY210">
        <v>1</v>
      </c>
      <c r="AZ210">
        <v>0</v>
      </c>
      <c r="BA210">
        <v>322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V210">
        <v>0</v>
      </c>
      <c r="CW210">
        <f>ROUND(Y210*Source!I207,9)</f>
        <v>0.58125000000000004</v>
      </c>
      <c r="CX210">
        <f>ROUND(Y210*Source!I207,9)</f>
        <v>0.58125000000000004</v>
      </c>
      <c r="CY210">
        <f>AB210</f>
        <v>446.65</v>
      </c>
      <c r="CZ210">
        <f>AF210</f>
        <v>14.54</v>
      </c>
      <c r="DA210">
        <f>AJ210</f>
        <v>29.34</v>
      </c>
      <c r="DB210">
        <f>ROUND((ROUND(AT210*CZ210,2)*1.25),6)</f>
        <v>5.6375000000000002</v>
      </c>
      <c r="DC210">
        <f>ROUND((ROUND(AT210*AG210,2)*1.25),6)</f>
        <v>4.8875000000000002</v>
      </c>
      <c r="DD210" t="s">
        <v>3</v>
      </c>
      <c r="DE210" t="s">
        <v>3</v>
      </c>
      <c r="DF210">
        <f>ROUND(ROUND(AE210,2)*CX210,2)</f>
        <v>0</v>
      </c>
      <c r="DG210">
        <f>ROUND(ROUND(AF210*AJ210,2)*CX210,2)</f>
        <v>247.96</v>
      </c>
      <c r="DH210">
        <f>ROUND(ROUND(AG210*AK210,2)*CX210,2)</f>
        <v>220.79</v>
      </c>
      <c r="DI210">
        <f t="shared" si="92"/>
        <v>0</v>
      </c>
      <c r="DJ210">
        <f>DG210</f>
        <v>247.96</v>
      </c>
      <c r="DK210">
        <v>0</v>
      </c>
      <c r="DL210" t="s">
        <v>3</v>
      </c>
      <c r="DM210">
        <v>0</v>
      </c>
      <c r="DN210" t="s">
        <v>3</v>
      </c>
      <c r="DO210">
        <v>0</v>
      </c>
    </row>
    <row r="211" spans="1:119" x14ac:dyDescent="0.2">
      <c r="A211">
        <f>ROW(Source!A207)</f>
        <v>207</v>
      </c>
      <c r="B211">
        <v>53860087</v>
      </c>
      <c r="C211">
        <v>53860814</v>
      </c>
      <c r="D211">
        <v>29507683</v>
      </c>
      <c r="E211">
        <v>29506949</v>
      </c>
      <c r="F211">
        <v>1</v>
      </c>
      <c r="G211">
        <v>29506949</v>
      </c>
      <c r="H211">
        <v>2</v>
      </c>
      <c r="I211" t="s">
        <v>641</v>
      </c>
      <c r="J211" t="s">
        <v>3</v>
      </c>
      <c r="K211" t="s">
        <v>642</v>
      </c>
      <c r="L211">
        <v>1344</v>
      </c>
      <c r="N211">
        <v>1008</v>
      </c>
      <c r="O211" t="s">
        <v>643</v>
      </c>
      <c r="P211" t="s">
        <v>643</v>
      </c>
      <c r="Q211">
        <v>1</v>
      </c>
      <c r="W211">
        <v>0</v>
      </c>
      <c r="X211">
        <v>-1180195794</v>
      </c>
      <c r="Y211">
        <f>(AT211*1.25)</f>
        <v>32.450000000000003</v>
      </c>
      <c r="AA211">
        <v>0</v>
      </c>
      <c r="AB211">
        <v>1.05</v>
      </c>
      <c r="AC211">
        <v>0</v>
      </c>
      <c r="AD211">
        <v>0</v>
      </c>
      <c r="AE211">
        <v>0</v>
      </c>
      <c r="AF211">
        <v>1</v>
      </c>
      <c r="AG211">
        <v>0</v>
      </c>
      <c r="AH211">
        <v>0</v>
      </c>
      <c r="AI211">
        <v>1</v>
      </c>
      <c r="AJ211">
        <v>1</v>
      </c>
      <c r="AK211">
        <v>1</v>
      </c>
      <c r="AL211">
        <v>1</v>
      </c>
      <c r="AM211">
        <v>-2</v>
      </c>
      <c r="AN211">
        <v>0</v>
      </c>
      <c r="AO211">
        <v>1</v>
      </c>
      <c r="AP211">
        <v>1</v>
      </c>
      <c r="AQ211">
        <v>0</v>
      </c>
      <c r="AR211">
        <v>0</v>
      </c>
      <c r="AS211" t="s">
        <v>3</v>
      </c>
      <c r="AT211">
        <v>25.96</v>
      </c>
      <c r="AU211" t="s">
        <v>51</v>
      </c>
      <c r="AV211">
        <v>0</v>
      </c>
      <c r="AW211">
        <v>1</v>
      </c>
      <c r="AX211">
        <v>-1</v>
      </c>
      <c r="AY211">
        <v>0</v>
      </c>
      <c r="AZ211">
        <v>0</v>
      </c>
      <c r="BA211" t="s">
        <v>3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V211">
        <v>0</v>
      </c>
      <c r="CW211">
        <f>ROUND(Y211*Source!I207,9)</f>
        <v>48.674999999999997</v>
      </c>
      <c r="CX211">
        <f>ROUND(Y211*Source!I207,9)</f>
        <v>48.674999999999997</v>
      </c>
      <c r="CY211">
        <f>AB211</f>
        <v>1.05</v>
      </c>
      <c r="CZ211">
        <f>AF211</f>
        <v>1</v>
      </c>
      <c r="DA211">
        <f>AJ211</f>
        <v>1</v>
      </c>
      <c r="DB211">
        <f>ROUND((ROUND(AT211*CZ211,2)*1.25),6)</f>
        <v>32.450000000000003</v>
      </c>
      <c r="DC211">
        <f>ROUND((ROUND(AT211*AG211,2)*1.25),6)</f>
        <v>0</v>
      </c>
      <c r="DD211" t="s">
        <v>3</v>
      </c>
      <c r="DE211" t="s">
        <v>3</v>
      </c>
      <c r="DF211">
        <f>ROUND(ROUND(AE211,2)*CX211,2)</f>
        <v>0</v>
      </c>
      <c r="DG211">
        <f t="shared" ref="DG211:DG217" si="93">ROUND(ROUND(AF211,2)*CX211,2)</f>
        <v>48.68</v>
      </c>
      <c r="DH211">
        <f t="shared" ref="DH211:DH217" si="94">ROUND(ROUND(AG211,2)*CX211,2)</f>
        <v>0</v>
      </c>
      <c r="DI211">
        <f t="shared" si="92"/>
        <v>0</v>
      </c>
      <c r="DJ211">
        <f>DG211</f>
        <v>48.68</v>
      </c>
      <c r="DK211">
        <v>0</v>
      </c>
      <c r="DL211" t="s">
        <v>3</v>
      </c>
      <c r="DM211">
        <v>0</v>
      </c>
      <c r="DN211" t="s">
        <v>3</v>
      </c>
      <c r="DO211">
        <v>0</v>
      </c>
    </row>
    <row r="212" spans="1:119" x14ac:dyDescent="0.2">
      <c r="A212">
        <f>ROW(Source!A207)</f>
        <v>207</v>
      </c>
      <c r="B212">
        <v>53860087</v>
      </c>
      <c r="C212">
        <v>53860814</v>
      </c>
      <c r="D212">
        <v>29555598</v>
      </c>
      <c r="E212">
        <v>1</v>
      </c>
      <c r="F212">
        <v>1</v>
      </c>
      <c r="G212">
        <v>29506949</v>
      </c>
      <c r="H212">
        <v>3</v>
      </c>
      <c r="I212" t="s">
        <v>68</v>
      </c>
      <c r="J212" t="s">
        <v>71</v>
      </c>
      <c r="K212" t="s">
        <v>69</v>
      </c>
      <c r="L212">
        <v>1339</v>
      </c>
      <c r="N212">
        <v>1007</v>
      </c>
      <c r="O212" t="s">
        <v>70</v>
      </c>
      <c r="P212" t="s">
        <v>70</v>
      </c>
      <c r="Q212">
        <v>1</v>
      </c>
      <c r="W212">
        <v>0</v>
      </c>
      <c r="X212">
        <v>-862991314</v>
      </c>
      <c r="Y212">
        <f>AT212</f>
        <v>0.13300000000000001</v>
      </c>
      <c r="AA212">
        <v>42.42</v>
      </c>
      <c r="AB212">
        <v>0</v>
      </c>
      <c r="AC212">
        <v>0</v>
      </c>
      <c r="AD212">
        <v>0</v>
      </c>
      <c r="AE212">
        <v>7.07</v>
      </c>
      <c r="AF212">
        <v>0</v>
      </c>
      <c r="AG212">
        <v>0</v>
      </c>
      <c r="AH212">
        <v>0</v>
      </c>
      <c r="AI212">
        <v>6</v>
      </c>
      <c r="AJ212">
        <v>1</v>
      </c>
      <c r="AK212">
        <v>1</v>
      </c>
      <c r="AL212">
        <v>1</v>
      </c>
      <c r="AM212">
        <v>2</v>
      </c>
      <c r="AN212">
        <v>0</v>
      </c>
      <c r="AO212">
        <v>1</v>
      </c>
      <c r="AP212">
        <v>1</v>
      </c>
      <c r="AQ212">
        <v>0</v>
      </c>
      <c r="AR212">
        <v>0</v>
      </c>
      <c r="AS212" t="s">
        <v>3</v>
      </c>
      <c r="AT212">
        <v>0.13300000000000001</v>
      </c>
      <c r="AU212" t="s">
        <v>3</v>
      </c>
      <c r="AV212">
        <v>0</v>
      </c>
      <c r="AW212">
        <v>2</v>
      </c>
      <c r="AX212">
        <v>53861345</v>
      </c>
      <c r="AY212">
        <v>1</v>
      </c>
      <c r="AZ212">
        <v>0</v>
      </c>
      <c r="BA212">
        <v>324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V212">
        <v>0</v>
      </c>
      <c r="CW212">
        <v>0</v>
      </c>
      <c r="CX212">
        <f>ROUND(Y212*Source!I207,9)</f>
        <v>0.19950000000000001</v>
      </c>
      <c r="CY212">
        <f>AA212</f>
        <v>42.42</v>
      </c>
      <c r="CZ212">
        <f>AE212</f>
        <v>7.07</v>
      </c>
      <c r="DA212">
        <f>AI212</f>
        <v>6</v>
      </c>
      <c r="DB212">
        <f>ROUND(ROUND(AT212*CZ212,2),6)</f>
        <v>0.94</v>
      </c>
      <c r="DC212">
        <f>ROUND(ROUND(AT212*AG212,2),6)</f>
        <v>0</v>
      </c>
      <c r="DD212" t="s">
        <v>3</v>
      </c>
      <c r="DE212" t="s">
        <v>3</v>
      </c>
      <c r="DF212">
        <f>ROUND(ROUND(AE212*AI212,2)*CX212,2)</f>
        <v>8.4600000000000009</v>
      </c>
      <c r="DG212">
        <f t="shared" si="93"/>
        <v>0</v>
      </c>
      <c r="DH212">
        <f t="shared" si="94"/>
        <v>0</v>
      </c>
      <c r="DI212">
        <f t="shared" si="92"/>
        <v>0</v>
      </c>
      <c r="DJ212">
        <f>DF212</f>
        <v>8.4600000000000009</v>
      </c>
      <c r="DK212">
        <v>0</v>
      </c>
      <c r="DL212" t="s">
        <v>3</v>
      </c>
      <c r="DM212">
        <v>0</v>
      </c>
      <c r="DN212" t="s">
        <v>3</v>
      </c>
      <c r="DO212">
        <v>0</v>
      </c>
    </row>
    <row r="213" spans="1:119" x14ac:dyDescent="0.2">
      <c r="A213">
        <f>ROW(Source!A207)</f>
        <v>207</v>
      </c>
      <c r="B213">
        <v>53860087</v>
      </c>
      <c r="C213">
        <v>53860814</v>
      </c>
      <c r="D213">
        <v>29557711</v>
      </c>
      <c r="E213">
        <v>1</v>
      </c>
      <c r="F213">
        <v>1</v>
      </c>
      <c r="G213">
        <v>29506949</v>
      </c>
      <c r="H213">
        <v>3</v>
      </c>
      <c r="I213" t="s">
        <v>775</v>
      </c>
      <c r="J213" t="s">
        <v>776</v>
      </c>
      <c r="K213" t="s">
        <v>777</v>
      </c>
      <c r="L213">
        <v>1348</v>
      </c>
      <c r="N213">
        <v>1009</v>
      </c>
      <c r="O213" t="s">
        <v>75</v>
      </c>
      <c r="P213" t="s">
        <v>75</v>
      </c>
      <c r="Q213">
        <v>1000</v>
      </c>
      <c r="W213">
        <v>0</v>
      </c>
      <c r="X213">
        <v>-162804234</v>
      </c>
      <c r="Y213">
        <f>AT213</f>
        <v>0.01</v>
      </c>
      <c r="AA213">
        <v>257870.67</v>
      </c>
      <c r="AB213">
        <v>0</v>
      </c>
      <c r="AC213">
        <v>0</v>
      </c>
      <c r="AD213">
        <v>0</v>
      </c>
      <c r="AE213">
        <v>69883.649999999994</v>
      </c>
      <c r="AF213">
        <v>0</v>
      </c>
      <c r="AG213">
        <v>0</v>
      </c>
      <c r="AH213">
        <v>0</v>
      </c>
      <c r="AI213">
        <v>3.69</v>
      </c>
      <c r="AJ213">
        <v>1</v>
      </c>
      <c r="AK213">
        <v>1</v>
      </c>
      <c r="AL213">
        <v>1</v>
      </c>
      <c r="AM213">
        <v>2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3</v>
      </c>
      <c r="AT213">
        <v>0.01</v>
      </c>
      <c r="AU213" t="s">
        <v>3</v>
      </c>
      <c r="AV213">
        <v>0</v>
      </c>
      <c r="AW213">
        <v>2</v>
      </c>
      <c r="AX213">
        <v>53861346</v>
      </c>
      <c r="AY213">
        <v>1</v>
      </c>
      <c r="AZ213">
        <v>0</v>
      </c>
      <c r="BA213">
        <v>325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V213">
        <v>0</v>
      </c>
      <c r="CW213">
        <v>0</v>
      </c>
      <c r="CX213">
        <f>ROUND(Y213*Source!I207,9)</f>
        <v>1.4999999999999999E-2</v>
      </c>
      <c r="CY213">
        <f>AA213</f>
        <v>257870.67</v>
      </c>
      <c r="CZ213">
        <f>AE213</f>
        <v>69883.649999999994</v>
      </c>
      <c r="DA213">
        <f>AI213</f>
        <v>3.69</v>
      </c>
      <c r="DB213">
        <f>ROUND(ROUND(AT213*CZ213,2),6)</f>
        <v>698.84</v>
      </c>
      <c r="DC213">
        <f>ROUND(ROUND(AT213*AG213,2),6)</f>
        <v>0</v>
      </c>
      <c r="DD213" t="s">
        <v>3</v>
      </c>
      <c r="DE213" t="s">
        <v>3</v>
      </c>
      <c r="DF213">
        <f>ROUND(ROUND(AE213*AI213,2)*CX213,2)</f>
        <v>3868.06</v>
      </c>
      <c r="DG213">
        <f t="shared" si="93"/>
        <v>0</v>
      </c>
      <c r="DH213">
        <f t="shared" si="94"/>
        <v>0</v>
      </c>
      <c r="DI213">
        <f t="shared" si="92"/>
        <v>0</v>
      </c>
      <c r="DJ213">
        <f>DF213</f>
        <v>3868.06</v>
      </c>
      <c r="DK213">
        <v>0</v>
      </c>
      <c r="DL213" t="s">
        <v>3</v>
      </c>
      <c r="DM213">
        <v>0</v>
      </c>
      <c r="DN213" t="s">
        <v>3</v>
      </c>
      <c r="DO213">
        <v>0</v>
      </c>
    </row>
    <row r="214" spans="1:119" x14ac:dyDescent="0.2">
      <c r="A214">
        <f>ROW(Source!A207)</f>
        <v>207</v>
      </c>
      <c r="B214">
        <v>53860087</v>
      </c>
      <c r="C214">
        <v>53860814</v>
      </c>
      <c r="D214">
        <v>33481860</v>
      </c>
      <c r="E214">
        <v>1</v>
      </c>
      <c r="F214">
        <v>1</v>
      </c>
      <c r="G214">
        <v>29506949</v>
      </c>
      <c r="H214">
        <v>3</v>
      </c>
      <c r="I214" t="s">
        <v>447</v>
      </c>
      <c r="J214" t="s">
        <v>449</v>
      </c>
      <c r="K214" t="s">
        <v>448</v>
      </c>
      <c r="L214">
        <v>1327</v>
      </c>
      <c r="N214">
        <v>1005</v>
      </c>
      <c r="O214" t="s">
        <v>100</v>
      </c>
      <c r="P214" t="s">
        <v>100</v>
      </c>
      <c r="Q214">
        <v>1</v>
      </c>
      <c r="W214">
        <v>0</v>
      </c>
      <c r="X214">
        <v>38374271</v>
      </c>
      <c r="Y214">
        <f>AT214</f>
        <v>102</v>
      </c>
      <c r="AA214">
        <v>862.58</v>
      </c>
      <c r="AB214">
        <v>0</v>
      </c>
      <c r="AC214">
        <v>0</v>
      </c>
      <c r="AD214">
        <v>0</v>
      </c>
      <c r="AE214">
        <v>127.6</v>
      </c>
      <c r="AF214">
        <v>0</v>
      </c>
      <c r="AG214">
        <v>0</v>
      </c>
      <c r="AH214">
        <v>0</v>
      </c>
      <c r="AI214">
        <v>6.76</v>
      </c>
      <c r="AJ214">
        <v>1</v>
      </c>
      <c r="AK214">
        <v>1</v>
      </c>
      <c r="AL214">
        <v>1</v>
      </c>
      <c r="AM214">
        <v>0</v>
      </c>
      <c r="AN214">
        <v>0</v>
      </c>
      <c r="AO214">
        <v>0</v>
      </c>
      <c r="AP214">
        <v>1</v>
      </c>
      <c r="AQ214">
        <v>0</v>
      </c>
      <c r="AR214">
        <v>0</v>
      </c>
      <c r="AS214" t="s">
        <v>3</v>
      </c>
      <c r="AT214">
        <v>102</v>
      </c>
      <c r="AU214" t="s">
        <v>3</v>
      </c>
      <c r="AV214">
        <v>0</v>
      </c>
      <c r="AW214">
        <v>1</v>
      </c>
      <c r="AX214">
        <v>-1</v>
      </c>
      <c r="AY214">
        <v>0</v>
      </c>
      <c r="AZ214">
        <v>0</v>
      </c>
      <c r="BA214" t="s">
        <v>3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V214">
        <v>0</v>
      </c>
      <c r="CW214">
        <v>0</v>
      </c>
      <c r="CX214">
        <f>ROUND(Y214*Source!I207,9)</f>
        <v>153</v>
      </c>
      <c r="CY214">
        <f>AA214</f>
        <v>862.58</v>
      </c>
      <c r="CZ214">
        <f>AE214</f>
        <v>127.6</v>
      </c>
      <c r="DA214">
        <f>AI214</f>
        <v>6.76</v>
      </c>
      <c r="DB214">
        <f>ROUND(ROUND(AT214*CZ214,2),6)</f>
        <v>13015.2</v>
      </c>
      <c r="DC214">
        <f>ROUND(ROUND(AT214*AG214,2),6)</f>
        <v>0</v>
      </c>
      <c r="DD214" t="s">
        <v>3</v>
      </c>
      <c r="DE214" t="s">
        <v>3</v>
      </c>
      <c r="DF214">
        <f>ROUND(ROUND(AE214*AI214,2)*CX214,2)</f>
        <v>131974.74</v>
      </c>
      <c r="DG214">
        <f t="shared" si="93"/>
        <v>0</v>
      </c>
      <c r="DH214">
        <f t="shared" si="94"/>
        <v>0</v>
      </c>
      <c r="DI214">
        <f t="shared" si="92"/>
        <v>0</v>
      </c>
      <c r="DJ214">
        <f>DF214</f>
        <v>131974.74</v>
      </c>
      <c r="DK214">
        <v>0</v>
      </c>
      <c r="DL214" t="s">
        <v>3</v>
      </c>
      <c r="DM214">
        <v>0</v>
      </c>
      <c r="DN214" t="s">
        <v>3</v>
      </c>
      <c r="DO214">
        <v>0</v>
      </c>
    </row>
    <row r="215" spans="1:119" x14ac:dyDescent="0.2">
      <c r="A215">
        <f>ROW(Source!A207)</f>
        <v>207</v>
      </c>
      <c r="B215">
        <v>53860087</v>
      </c>
      <c r="C215">
        <v>53860814</v>
      </c>
      <c r="D215">
        <v>29574204</v>
      </c>
      <c r="E215">
        <v>1</v>
      </c>
      <c r="F215">
        <v>1</v>
      </c>
      <c r="G215">
        <v>29506949</v>
      </c>
      <c r="H215">
        <v>3</v>
      </c>
      <c r="I215" t="s">
        <v>273</v>
      </c>
      <c r="J215" t="s">
        <v>275</v>
      </c>
      <c r="K215" t="s">
        <v>443</v>
      </c>
      <c r="L215">
        <v>1348</v>
      </c>
      <c r="N215">
        <v>1009</v>
      </c>
      <c r="O215" t="s">
        <v>75</v>
      </c>
      <c r="P215" t="s">
        <v>75</v>
      </c>
      <c r="Q215">
        <v>1000</v>
      </c>
      <c r="W215">
        <v>0</v>
      </c>
      <c r="X215">
        <v>-2111103549</v>
      </c>
      <c r="Y215">
        <f>AT215</f>
        <v>0.04</v>
      </c>
      <c r="AA215">
        <v>91391.32</v>
      </c>
      <c r="AB215">
        <v>0</v>
      </c>
      <c r="AC215">
        <v>0</v>
      </c>
      <c r="AD215">
        <v>0</v>
      </c>
      <c r="AE215">
        <v>27362.67</v>
      </c>
      <c r="AF215">
        <v>0</v>
      </c>
      <c r="AG215">
        <v>0</v>
      </c>
      <c r="AH215">
        <v>0</v>
      </c>
      <c r="AI215">
        <v>3.34</v>
      </c>
      <c r="AJ215">
        <v>1</v>
      </c>
      <c r="AK215">
        <v>1</v>
      </c>
      <c r="AL215">
        <v>1</v>
      </c>
      <c r="AM215">
        <v>0</v>
      </c>
      <c r="AN215">
        <v>0</v>
      </c>
      <c r="AO215">
        <v>0</v>
      </c>
      <c r="AP215">
        <v>1</v>
      </c>
      <c r="AQ215">
        <v>0</v>
      </c>
      <c r="AR215">
        <v>0</v>
      </c>
      <c r="AS215" t="s">
        <v>3</v>
      </c>
      <c r="AT215">
        <v>0.04</v>
      </c>
      <c r="AU215" t="s">
        <v>3</v>
      </c>
      <c r="AV215">
        <v>0</v>
      </c>
      <c r="AW215">
        <v>1</v>
      </c>
      <c r="AX215">
        <v>-1</v>
      </c>
      <c r="AY215">
        <v>0</v>
      </c>
      <c r="AZ215">
        <v>0</v>
      </c>
      <c r="BA215" t="s">
        <v>3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V215">
        <v>0</v>
      </c>
      <c r="CW215">
        <v>0</v>
      </c>
      <c r="CX215">
        <f>ROUND(Y215*Source!I207,9)</f>
        <v>0.06</v>
      </c>
      <c r="CY215">
        <f>AA215</f>
        <v>91391.32</v>
      </c>
      <c r="CZ215">
        <f>AE215</f>
        <v>27362.67</v>
      </c>
      <c r="DA215">
        <f>AI215</f>
        <v>3.34</v>
      </c>
      <c r="DB215">
        <f>ROUND(ROUND(AT215*CZ215,2),6)</f>
        <v>1094.51</v>
      </c>
      <c r="DC215">
        <f>ROUND(ROUND(AT215*AG215,2),6)</f>
        <v>0</v>
      </c>
      <c r="DD215" t="s">
        <v>3</v>
      </c>
      <c r="DE215" t="s">
        <v>3</v>
      </c>
      <c r="DF215">
        <f>ROUND(ROUND(AE215*AI215,2)*CX215,2)</f>
        <v>5483.48</v>
      </c>
      <c r="DG215">
        <f t="shared" si="93"/>
        <v>0</v>
      </c>
      <c r="DH215">
        <f t="shared" si="94"/>
        <v>0</v>
      </c>
      <c r="DI215">
        <f t="shared" si="92"/>
        <v>0</v>
      </c>
      <c r="DJ215">
        <f>DF215</f>
        <v>5483.48</v>
      </c>
      <c r="DK215">
        <v>0</v>
      </c>
      <c r="DL215" t="s">
        <v>3</v>
      </c>
      <c r="DM215">
        <v>0</v>
      </c>
      <c r="DN215" t="s">
        <v>3</v>
      </c>
      <c r="DO215">
        <v>0</v>
      </c>
    </row>
    <row r="216" spans="1:119" x14ac:dyDescent="0.2">
      <c r="A216">
        <f>ROW(Source!A207)</f>
        <v>207</v>
      </c>
      <c r="B216">
        <v>53860087</v>
      </c>
      <c r="C216">
        <v>53860814</v>
      </c>
      <c r="D216">
        <v>29574231</v>
      </c>
      <c r="E216">
        <v>1</v>
      </c>
      <c r="F216">
        <v>1</v>
      </c>
      <c r="G216">
        <v>29506949</v>
      </c>
      <c r="H216">
        <v>3</v>
      </c>
      <c r="I216" t="s">
        <v>277</v>
      </c>
      <c r="J216" t="s">
        <v>279</v>
      </c>
      <c r="K216" t="s">
        <v>445</v>
      </c>
      <c r="L216">
        <v>1348</v>
      </c>
      <c r="N216">
        <v>1009</v>
      </c>
      <c r="O216" t="s">
        <v>75</v>
      </c>
      <c r="P216" t="s">
        <v>75</v>
      </c>
      <c r="Q216">
        <v>1000</v>
      </c>
      <c r="W216">
        <v>0</v>
      </c>
      <c r="X216">
        <v>188264796</v>
      </c>
      <c r="Y216">
        <f>AT216</f>
        <v>0.47</v>
      </c>
      <c r="AA216">
        <v>12510.63</v>
      </c>
      <c r="AB216">
        <v>0</v>
      </c>
      <c r="AC216">
        <v>0</v>
      </c>
      <c r="AD216">
        <v>0</v>
      </c>
      <c r="AE216">
        <v>3971.63</v>
      </c>
      <c r="AF216">
        <v>0</v>
      </c>
      <c r="AG216">
        <v>0</v>
      </c>
      <c r="AH216">
        <v>0</v>
      </c>
      <c r="AI216">
        <v>3.15</v>
      </c>
      <c r="AJ216">
        <v>1</v>
      </c>
      <c r="AK216">
        <v>1</v>
      </c>
      <c r="AL216">
        <v>1</v>
      </c>
      <c r="AM216">
        <v>0</v>
      </c>
      <c r="AN216">
        <v>0</v>
      </c>
      <c r="AO216">
        <v>0</v>
      </c>
      <c r="AP216">
        <v>1</v>
      </c>
      <c r="AQ216">
        <v>0</v>
      </c>
      <c r="AR216">
        <v>0</v>
      </c>
      <c r="AS216" t="s">
        <v>3</v>
      </c>
      <c r="AT216">
        <v>0.47</v>
      </c>
      <c r="AU216" t="s">
        <v>3</v>
      </c>
      <c r="AV216">
        <v>0</v>
      </c>
      <c r="AW216">
        <v>1</v>
      </c>
      <c r="AX216">
        <v>-1</v>
      </c>
      <c r="AY216">
        <v>0</v>
      </c>
      <c r="AZ216">
        <v>0</v>
      </c>
      <c r="BA216" t="s">
        <v>3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V216">
        <v>0</v>
      </c>
      <c r="CW216">
        <v>0</v>
      </c>
      <c r="CX216">
        <f>ROUND(Y216*Source!I207,9)</f>
        <v>0.70499999999999996</v>
      </c>
      <c r="CY216">
        <f>AA216</f>
        <v>12510.63</v>
      </c>
      <c r="CZ216">
        <f>AE216</f>
        <v>3971.63</v>
      </c>
      <c r="DA216">
        <f>AI216</f>
        <v>3.15</v>
      </c>
      <c r="DB216">
        <f>ROUND(ROUND(AT216*CZ216,2),6)</f>
        <v>1866.67</v>
      </c>
      <c r="DC216">
        <f>ROUND(ROUND(AT216*AG216,2),6)</f>
        <v>0</v>
      </c>
      <c r="DD216" t="s">
        <v>3</v>
      </c>
      <c r="DE216" t="s">
        <v>3</v>
      </c>
      <c r="DF216">
        <f>ROUND(ROUND(AE216*AI216,2)*CX216,2)</f>
        <v>8819.99</v>
      </c>
      <c r="DG216">
        <f t="shared" si="93"/>
        <v>0</v>
      </c>
      <c r="DH216">
        <f t="shared" si="94"/>
        <v>0</v>
      </c>
      <c r="DI216">
        <f t="shared" si="92"/>
        <v>0</v>
      </c>
      <c r="DJ216">
        <f>DF216</f>
        <v>8819.99</v>
      </c>
      <c r="DK216">
        <v>0</v>
      </c>
      <c r="DL216" t="s">
        <v>3</v>
      </c>
      <c r="DM216">
        <v>0</v>
      </c>
      <c r="DN216" t="s">
        <v>3</v>
      </c>
      <c r="DO216">
        <v>0</v>
      </c>
    </row>
    <row r="217" spans="1:119" x14ac:dyDescent="0.2">
      <c r="A217">
        <f>ROW(Source!A211)</f>
        <v>211</v>
      </c>
      <c r="B217">
        <v>53860087</v>
      </c>
      <c r="C217">
        <v>53861421</v>
      </c>
      <c r="D217">
        <v>29506954</v>
      </c>
      <c r="E217">
        <v>29506949</v>
      </c>
      <c r="F217">
        <v>1</v>
      </c>
      <c r="G217">
        <v>29506949</v>
      </c>
      <c r="H217">
        <v>1</v>
      </c>
      <c r="I217" t="s">
        <v>638</v>
      </c>
      <c r="J217" t="s">
        <v>3</v>
      </c>
      <c r="K217" t="s">
        <v>639</v>
      </c>
      <c r="L217">
        <v>1191</v>
      </c>
      <c r="N217">
        <v>1013</v>
      </c>
      <c r="O217" t="s">
        <v>640</v>
      </c>
      <c r="P217" t="s">
        <v>640</v>
      </c>
      <c r="Q217">
        <v>1</v>
      </c>
      <c r="W217">
        <v>0</v>
      </c>
      <c r="X217">
        <v>476480486</v>
      </c>
      <c r="Y217">
        <f>(AT217*1.15)</f>
        <v>277.63299999999998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1</v>
      </c>
      <c r="AJ217">
        <v>1</v>
      </c>
      <c r="AK217">
        <v>1</v>
      </c>
      <c r="AL217">
        <v>1</v>
      </c>
      <c r="AM217">
        <v>-2</v>
      </c>
      <c r="AN217">
        <v>0</v>
      </c>
      <c r="AO217">
        <v>1</v>
      </c>
      <c r="AP217">
        <v>1</v>
      </c>
      <c r="AQ217">
        <v>0</v>
      </c>
      <c r="AR217">
        <v>0</v>
      </c>
      <c r="AS217" t="s">
        <v>3</v>
      </c>
      <c r="AT217">
        <v>241.42</v>
      </c>
      <c r="AU217" t="s">
        <v>52</v>
      </c>
      <c r="AV217">
        <v>1</v>
      </c>
      <c r="AW217">
        <v>2</v>
      </c>
      <c r="AX217">
        <v>53861435</v>
      </c>
      <c r="AY217">
        <v>1</v>
      </c>
      <c r="AZ217">
        <v>0</v>
      </c>
      <c r="BA217">
        <v>329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U217">
        <f>ROUND(AT217*Source!I211*AH217*AL217,2)</f>
        <v>0</v>
      </c>
      <c r="CV217">
        <f>ROUND(Y217*Source!I211,9)</f>
        <v>13.88165</v>
      </c>
      <c r="CW217">
        <v>0</v>
      </c>
      <c r="CX217">
        <f>ROUND(Y217*Source!I211,9)</f>
        <v>13.88165</v>
      </c>
      <c r="CY217">
        <f>AD217</f>
        <v>0</v>
      </c>
      <c r="CZ217">
        <f>AH217</f>
        <v>0</v>
      </c>
      <c r="DA217">
        <f>AL217</f>
        <v>1</v>
      </c>
      <c r="DB217">
        <f>ROUND((ROUND(AT217*CZ217,2)*1.15),6)</f>
        <v>0</v>
      </c>
      <c r="DC217">
        <f>ROUND((ROUND(AT217*AG217,2)*1.15),6)</f>
        <v>0</v>
      </c>
      <c r="DD217" t="s">
        <v>3</v>
      </c>
      <c r="DE217" t="s">
        <v>3</v>
      </c>
      <c r="DF217">
        <f>ROUND(ROUND(AE217,2)*CX217,2)</f>
        <v>0</v>
      </c>
      <c r="DG217">
        <f t="shared" si="93"/>
        <v>0</v>
      </c>
      <c r="DH217">
        <f t="shared" si="94"/>
        <v>0</v>
      </c>
      <c r="DI217">
        <f t="shared" si="92"/>
        <v>0</v>
      </c>
      <c r="DJ217">
        <f>DI217</f>
        <v>0</v>
      </c>
      <c r="DK217">
        <v>0</v>
      </c>
      <c r="DL217" t="s">
        <v>3</v>
      </c>
      <c r="DM217">
        <v>0</v>
      </c>
      <c r="DN217" t="s">
        <v>3</v>
      </c>
      <c r="DO217">
        <v>0</v>
      </c>
    </row>
    <row r="218" spans="1:119" x14ac:dyDescent="0.2">
      <c r="A218">
        <f>ROW(Source!A211)</f>
        <v>211</v>
      </c>
      <c r="B218">
        <v>53860087</v>
      </c>
      <c r="C218">
        <v>53861421</v>
      </c>
      <c r="D218">
        <v>29580239</v>
      </c>
      <c r="E218">
        <v>1</v>
      </c>
      <c r="F218">
        <v>1</v>
      </c>
      <c r="G218">
        <v>29506949</v>
      </c>
      <c r="H218">
        <v>2</v>
      </c>
      <c r="I218" t="s">
        <v>778</v>
      </c>
      <c r="J218" t="s">
        <v>779</v>
      </c>
      <c r="K218" t="s">
        <v>780</v>
      </c>
      <c r="L218">
        <v>1368</v>
      </c>
      <c r="N218">
        <v>1011</v>
      </c>
      <c r="O218" t="s">
        <v>647</v>
      </c>
      <c r="P218" t="s">
        <v>647</v>
      </c>
      <c r="Q218">
        <v>1</v>
      </c>
      <c r="W218">
        <v>0</v>
      </c>
      <c r="X218">
        <v>207661963</v>
      </c>
      <c r="Y218">
        <f>(AT218*1.25)</f>
        <v>24.125</v>
      </c>
      <c r="AA218">
        <v>0</v>
      </c>
      <c r="AB218">
        <v>43.75</v>
      </c>
      <c r="AC218">
        <v>0</v>
      </c>
      <c r="AD218">
        <v>0</v>
      </c>
      <c r="AE218">
        <v>0</v>
      </c>
      <c r="AF218">
        <v>4.6900000000000004</v>
      </c>
      <c r="AG218">
        <v>0</v>
      </c>
      <c r="AH218">
        <v>0</v>
      </c>
      <c r="AI218">
        <v>1</v>
      </c>
      <c r="AJ218">
        <v>8.91</v>
      </c>
      <c r="AK218">
        <v>30.1</v>
      </c>
      <c r="AL218">
        <v>1</v>
      </c>
      <c r="AM218">
        <v>2</v>
      </c>
      <c r="AN218">
        <v>0</v>
      </c>
      <c r="AO218">
        <v>1</v>
      </c>
      <c r="AP218">
        <v>1</v>
      </c>
      <c r="AQ218">
        <v>0</v>
      </c>
      <c r="AR218">
        <v>0</v>
      </c>
      <c r="AS218" t="s">
        <v>3</v>
      </c>
      <c r="AT218">
        <v>19.3</v>
      </c>
      <c r="AU218" t="s">
        <v>51</v>
      </c>
      <c r="AV218">
        <v>0</v>
      </c>
      <c r="AW218">
        <v>2</v>
      </c>
      <c r="AX218">
        <v>53861436</v>
      </c>
      <c r="AY218">
        <v>1</v>
      </c>
      <c r="AZ218">
        <v>0</v>
      </c>
      <c r="BA218">
        <v>330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V218">
        <v>0</v>
      </c>
      <c r="CW218">
        <f>ROUND(Y218*Source!I211,9)</f>
        <v>1.20625</v>
      </c>
      <c r="CX218">
        <f>ROUND(Y218*Source!I211,9)</f>
        <v>1.20625</v>
      </c>
      <c r="CY218">
        <f>AB218</f>
        <v>43.75</v>
      </c>
      <c r="CZ218">
        <f>AF218</f>
        <v>4.6900000000000004</v>
      </c>
      <c r="DA218">
        <f>AJ218</f>
        <v>8.91</v>
      </c>
      <c r="DB218">
        <f>ROUND((ROUND(AT218*CZ218,2)*1.25),6)</f>
        <v>113.15</v>
      </c>
      <c r="DC218">
        <f>ROUND((ROUND(AT218*AG218,2)*1.25),6)</f>
        <v>0</v>
      </c>
      <c r="DD218" t="s">
        <v>3</v>
      </c>
      <c r="DE218" t="s">
        <v>3</v>
      </c>
      <c r="DF218">
        <f>ROUND(ROUND(AE218,2)*CX218,2)</f>
        <v>0</v>
      </c>
      <c r="DG218">
        <f>ROUND(ROUND(AF218*AJ218,2)*CX218,2)</f>
        <v>50.41</v>
      </c>
      <c r="DH218">
        <f>ROUND(ROUND(AG218*AK218,2)*CX218,2)</f>
        <v>0</v>
      </c>
      <c r="DI218">
        <f t="shared" si="92"/>
        <v>0</v>
      </c>
      <c r="DJ218">
        <f>DG218</f>
        <v>50.41</v>
      </c>
      <c r="DK218">
        <v>0</v>
      </c>
      <c r="DL218" t="s">
        <v>3</v>
      </c>
      <c r="DM218">
        <v>0</v>
      </c>
      <c r="DN218" t="s">
        <v>3</v>
      </c>
      <c r="DO218">
        <v>0</v>
      </c>
    </row>
    <row r="219" spans="1:119" x14ac:dyDescent="0.2">
      <c r="A219">
        <f>ROW(Source!A211)</f>
        <v>211</v>
      </c>
      <c r="B219">
        <v>53860087</v>
      </c>
      <c r="C219">
        <v>53861421</v>
      </c>
      <c r="D219">
        <v>29580491</v>
      </c>
      <c r="E219">
        <v>1</v>
      </c>
      <c r="F219">
        <v>1</v>
      </c>
      <c r="G219">
        <v>29506949</v>
      </c>
      <c r="H219">
        <v>2</v>
      </c>
      <c r="I219" t="s">
        <v>650</v>
      </c>
      <c r="J219" t="s">
        <v>651</v>
      </c>
      <c r="K219" t="s">
        <v>652</v>
      </c>
      <c r="L219">
        <v>1368</v>
      </c>
      <c r="N219">
        <v>1011</v>
      </c>
      <c r="O219" t="s">
        <v>647</v>
      </c>
      <c r="P219" t="s">
        <v>647</v>
      </c>
      <c r="Q219">
        <v>1</v>
      </c>
      <c r="W219">
        <v>0</v>
      </c>
      <c r="X219">
        <v>-1440889904</v>
      </c>
      <c r="Y219">
        <f>(AT219*1.25)</f>
        <v>0.83750000000000002</v>
      </c>
      <c r="AA219">
        <v>0</v>
      </c>
      <c r="AB219">
        <v>1051.9000000000001</v>
      </c>
      <c r="AC219">
        <v>397.72</v>
      </c>
      <c r="AD219">
        <v>0</v>
      </c>
      <c r="AE219">
        <v>0</v>
      </c>
      <c r="AF219">
        <v>83.1</v>
      </c>
      <c r="AG219">
        <v>12.62</v>
      </c>
      <c r="AH219">
        <v>0</v>
      </c>
      <c r="AI219">
        <v>1</v>
      </c>
      <c r="AJ219">
        <v>12.09</v>
      </c>
      <c r="AK219">
        <v>30.1</v>
      </c>
      <c r="AL219">
        <v>1</v>
      </c>
      <c r="AM219">
        <v>2</v>
      </c>
      <c r="AN219">
        <v>0</v>
      </c>
      <c r="AO219">
        <v>1</v>
      </c>
      <c r="AP219">
        <v>1</v>
      </c>
      <c r="AQ219">
        <v>0</v>
      </c>
      <c r="AR219">
        <v>0</v>
      </c>
      <c r="AS219" t="s">
        <v>3</v>
      </c>
      <c r="AT219">
        <v>0.67</v>
      </c>
      <c r="AU219" t="s">
        <v>51</v>
      </c>
      <c r="AV219">
        <v>0</v>
      </c>
      <c r="AW219">
        <v>2</v>
      </c>
      <c r="AX219">
        <v>53861437</v>
      </c>
      <c r="AY219">
        <v>1</v>
      </c>
      <c r="AZ219">
        <v>0</v>
      </c>
      <c r="BA219">
        <v>331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V219">
        <v>0</v>
      </c>
      <c r="CW219">
        <f>ROUND(Y219*Source!I211,9)</f>
        <v>4.1875000000000002E-2</v>
      </c>
      <c r="CX219">
        <f>ROUND(Y219*Source!I211,9)</f>
        <v>4.1875000000000002E-2</v>
      </c>
      <c r="CY219">
        <f>AB219</f>
        <v>1051.9000000000001</v>
      </c>
      <c r="CZ219">
        <f>AF219</f>
        <v>83.1</v>
      </c>
      <c r="DA219">
        <f>AJ219</f>
        <v>12.09</v>
      </c>
      <c r="DB219">
        <f>ROUND((ROUND(AT219*CZ219,2)*1.25),6)</f>
        <v>69.599999999999994</v>
      </c>
      <c r="DC219">
        <f>ROUND((ROUND(AT219*AG219,2)*1.25),6)</f>
        <v>10.574999999999999</v>
      </c>
      <c r="DD219" t="s">
        <v>3</v>
      </c>
      <c r="DE219" t="s">
        <v>3</v>
      </c>
      <c r="DF219">
        <f>ROUND(ROUND(AE219,2)*CX219,2)</f>
        <v>0</v>
      </c>
      <c r="DG219">
        <f>ROUND(ROUND(AF219*AJ219,2)*CX219,2)</f>
        <v>42.07</v>
      </c>
      <c r="DH219">
        <f>ROUND(ROUND(AG219*AK219,2)*CX219,2)</f>
        <v>15.91</v>
      </c>
      <c r="DI219">
        <f t="shared" si="92"/>
        <v>0</v>
      </c>
      <c r="DJ219">
        <f>DG219</f>
        <v>42.07</v>
      </c>
      <c r="DK219">
        <v>0</v>
      </c>
      <c r="DL219" t="s">
        <v>3</v>
      </c>
      <c r="DM219">
        <v>0</v>
      </c>
      <c r="DN219" t="s">
        <v>3</v>
      </c>
      <c r="DO219">
        <v>0</v>
      </c>
    </row>
    <row r="220" spans="1:119" x14ac:dyDescent="0.2">
      <c r="A220">
        <f>ROW(Source!A211)</f>
        <v>211</v>
      </c>
      <c r="B220">
        <v>53860087</v>
      </c>
      <c r="C220">
        <v>53861421</v>
      </c>
      <c r="D220">
        <v>29580553</v>
      </c>
      <c r="E220">
        <v>1</v>
      </c>
      <c r="F220">
        <v>1</v>
      </c>
      <c r="G220">
        <v>29506949</v>
      </c>
      <c r="H220">
        <v>2</v>
      </c>
      <c r="I220" t="s">
        <v>772</v>
      </c>
      <c r="J220" t="s">
        <v>773</v>
      </c>
      <c r="K220" t="s">
        <v>774</v>
      </c>
      <c r="L220">
        <v>1368</v>
      </c>
      <c r="N220">
        <v>1011</v>
      </c>
      <c r="O220" t="s">
        <v>647</v>
      </c>
      <c r="P220" t="s">
        <v>647</v>
      </c>
      <c r="Q220">
        <v>1</v>
      </c>
      <c r="W220">
        <v>0</v>
      </c>
      <c r="X220">
        <v>-445654203</v>
      </c>
      <c r="Y220">
        <f>(AT220*1.25)</f>
        <v>3.7624999999999997</v>
      </c>
      <c r="AA220">
        <v>0</v>
      </c>
      <c r="AB220">
        <v>446.65</v>
      </c>
      <c r="AC220">
        <v>397.72</v>
      </c>
      <c r="AD220">
        <v>0</v>
      </c>
      <c r="AE220">
        <v>0</v>
      </c>
      <c r="AF220">
        <v>14.54</v>
      </c>
      <c r="AG220">
        <v>12.62</v>
      </c>
      <c r="AH220">
        <v>0</v>
      </c>
      <c r="AI220">
        <v>1</v>
      </c>
      <c r="AJ220">
        <v>29.34</v>
      </c>
      <c r="AK220">
        <v>30.1</v>
      </c>
      <c r="AL220">
        <v>1</v>
      </c>
      <c r="AM220">
        <v>2</v>
      </c>
      <c r="AN220">
        <v>0</v>
      </c>
      <c r="AO220">
        <v>1</v>
      </c>
      <c r="AP220">
        <v>1</v>
      </c>
      <c r="AQ220">
        <v>0</v>
      </c>
      <c r="AR220">
        <v>0</v>
      </c>
      <c r="AS220" t="s">
        <v>3</v>
      </c>
      <c r="AT220">
        <v>3.01</v>
      </c>
      <c r="AU220" t="s">
        <v>51</v>
      </c>
      <c r="AV220">
        <v>0</v>
      </c>
      <c r="AW220">
        <v>2</v>
      </c>
      <c r="AX220">
        <v>53861438</v>
      </c>
      <c r="AY220">
        <v>1</v>
      </c>
      <c r="AZ220">
        <v>0</v>
      </c>
      <c r="BA220">
        <v>332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V220">
        <v>0</v>
      </c>
      <c r="CW220">
        <f>ROUND(Y220*Source!I211,9)</f>
        <v>0.18812499999999999</v>
      </c>
      <c r="CX220">
        <f>ROUND(Y220*Source!I211,9)</f>
        <v>0.18812499999999999</v>
      </c>
      <c r="CY220">
        <f>AB220</f>
        <v>446.65</v>
      </c>
      <c r="CZ220">
        <f>AF220</f>
        <v>14.54</v>
      </c>
      <c r="DA220">
        <f>AJ220</f>
        <v>29.34</v>
      </c>
      <c r="DB220">
        <f>ROUND((ROUND(AT220*CZ220,2)*1.25),6)</f>
        <v>54.712499999999999</v>
      </c>
      <c r="DC220">
        <f>ROUND((ROUND(AT220*AG220,2)*1.25),6)</f>
        <v>47.487499999999997</v>
      </c>
      <c r="DD220" t="s">
        <v>3</v>
      </c>
      <c r="DE220" t="s">
        <v>3</v>
      </c>
      <c r="DF220">
        <f>ROUND(ROUND(AE220,2)*CX220,2)</f>
        <v>0</v>
      </c>
      <c r="DG220">
        <f>ROUND(ROUND(AF220*AJ220,2)*CX220,2)</f>
        <v>80.25</v>
      </c>
      <c r="DH220">
        <f>ROUND(ROUND(AG220*AK220,2)*CX220,2)</f>
        <v>71.459999999999994</v>
      </c>
      <c r="DI220">
        <f t="shared" si="92"/>
        <v>0</v>
      </c>
      <c r="DJ220">
        <f>DG220</f>
        <v>80.25</v>
      </c>
      <c r="DK220">
        <v>0</v>
      </c>
      <c r="DL220" t="s">
        <v>3</v>
      </c>
      <c r="DM220">
        <v>0</v>
      </c>
      <c r="DN220" t="s">
        <v>3</v>
      </c>
      <c r="DO220">
        <v>0</v>
      </c>
    </row>
    <row r="221" spans="1:119" x14ac:dyDescent="0.2">
      <c r="A221">
        <f>ROW(Source!A211)</f>
        <v>211</v>
      </c>
      <c r="B221">
        <v>53860087</v>
      </c>
      <c r="C221">
        <v>53861421</v>
      </c>
      <c r="D221">
        <v>29580030</v>
      </c>
      <c r="E221">
        <v>1</v>
      </c>
      <c r="F221">
        <v>1</v>
      </c>
      <c r="G221">
        <v>29506949</v>
      </c>
      <c r="H221">
        <v>2</v>
      </c>
      <c r="I221" t="s">
        <v>653</v>
      </c>
      <c r="J221" t="s">
        <v>654</v>
      </c>
      <c r="K221" t="s">
        <v>655</v>
      </c>
      <c r="L221">
        <v>1368</v>
      </c>
      <c r="N221">
        <v>1011</v>
      </c>
      <c r="O221" t="s">
        <v>647</v>
      </c>
      <c r="P221" t="s">
        <v>647</v>
      </c>
      <c r="Q221">
        <v>1</v>
      </c>
      <c r="W221">
        <v>0</v>
      </c>
      <c r="X221">
        <v>919099054</v>
      </c>
      <c r="Y221">
        <f>(AT221*1.25)</f>
        <v>39.449999999999996</v>
      </c>
      <c r="AA221">
        <v>0</v>
      </c>
      <c r="AB221">
        <v>1.69</v>
      </c>
      <c r="AC221">
        <v>0</v>
      </c>
      <c r="AD221">
        <v>0</v>
      </c>
      <c r="AE221">
        <v>0</v>
      </c>
      <c r="AF221">
        <v>0.17</v>
      </c>
      <c r="AG221">
        <v>0</v>
      </c>
      <c r="AH221">
        <v>0</v>
      </c>
      <c r="AI221">
        <v>1</v>
      </c>
      <c r="AJ221">
        <v>9.4700000000000006</v>
      </c>
      <c r="AK221">
        <v>30.1</v>
      </c>
      <c r="AL221">
        <v>1</v>
      </c>
      <c r="AM221">
        <v>2</v>
      </c>
      <c r="AN221">
        <v>0</v>
      </c>
      <c r="AO221">
        <v>1</v>
      </c>
      <c r="AP221">
        <v>1</v>
      </c>
      <c r="AQ221">
        <v>0</v>
      </c>
      <c r="AR221">
        <v>0</v>
      </c>
      <c r="AS221" t="s">
        <v>3</v>
      </c>
      <c r="AT221">
        <v>31.56</v>
      </c>
      <c r="AU221" t="s">
        <v>51</v>
      </c>
      <c r="AV221">
        <v>0</v>
      </c>
      <c r="AW221">
        <v>2</v>
      </c>
      <c r="AX221">
        <v>53861439</v>
      </c>
      <c r="AY221">
        <v>1</v>
      </c>
      <c r="AZ221">
        <v>0</v>
      </c>
      <c r="BA221">
        <v>333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V221">
        <v>0</v>
      </c>
      <c r="CW221">
        <f>ROUND(Y221*Source!I211,9)</f>
        <v>1.9724999999999999</v>
      </c>
      <c r="CX221">
        <f>ROUND(Y221*Source!I211,9)</f>
        <v>1.9724999999999999</v>
      </c>
      <c r="CY221">
        <f>AB221</f>
        <v>1.69</v>
      </c>
      <c r="CZ221">
        <f>AF221</f>
        <v>0.17</v>
      </c>
      <c r="DA221">
        <f>AJ221</f>
        <v>9.4700000000000006</v>
      </c>
      <c r="DB221">
        <f>ROUND((ROUND(AT221*CZ221,2)*1.25),6)</f>
        <v>6.7125000000000004</v>
      </c>
      <c r="DC221">
        <f>ROUND((ROUND(AT221*AG221,2)*1.25),6)</f>
        <v>0</v>
      </c>
      <c r="DD221" t="s">
        <v>3</v>
      </c>
      <c r="DE221" t="s">
        <v>3</v>
      </c>
      <c r="DF221">
        <f>ROUND(ROUND(AE221,2)*CX221,2)</f>
        <v>0</v>
      </c>
      <c r="DG221">
        <f>ROUND(ROUND(AF221*AJ221,2)*CX221,2)</f>
        <v>3.18</v>
      </c>
      <c r="DH221">
        <f>ROUND(ROUND(AG221*AK221,2)*CX221,2)</f>
        <v>0</v>
      </c>
      <c r="DI221">
        <f t="shared" si="92"/>
        <v>0</v>
      </c>
      <c r="DJ221">
        <f>DG221</f>
        <v>3.18</v>
      </c>
      <c r="DK221">
        <v>0</v>
      </c>
      <c r="DL221" t="s">
        <v>3</v>
      </c>
      <c r="DM221">
        <v>0</v>
      </c>
      <c r="DN221" t="s">
        <v>3</v>
      </c>
      <c r="DO221">
        <v>0</v>
      </c>
    </row>
    <row r="222" spans="1:119" x14ac:dyDescent="0.2">
      <c r="A222">
        <f>ROW(Source!A211)</f>
        <v>211</v>
      </c>
      <c r="B222">
        <v>53860087</v>
      </c>
      <c r="C222">
        <v>53861421</v>
      </c>
      <c r="D222">
        <v>29555598</v>
      </c>
      <c r="E222">
        <v>1</v>
      </c>
      <c r="F222">
        <v>1</v>
      </c>
      <c r="G222">
        <v>29506949</v>
      </c>
      <c r="H222">
        <v>3</v>
      </c>
      <c r="I222" t="s">
        <v>68</v>
      </c>
      <c r="J222" t="s">
        <v>71</v>
      </c>
      <c r="K222" t="s">
        <v>69</v>
      </c>
      <c r="L222">
        <v>1339</v>
      </c>
      <c r="N222">
        <v>1007</v>
      </c>
      <c r="O222" t="s">
        <v>70</v>
      </c>
      <c r="P222" t="s">
        <v>70</v>
      </c>
      <c r="Q222">
        <v>1</v>
      </c>
      <c r="W222">
        <v>0</v>
      </c>
      <c r="X222">
        <v>-862991314</v>
      </c>
      <c r="Y222">
        <f>AT222</f>
        <v>0.48799999999999999</v>
      </c>
      <c r="AA222">
        <v>42.42</v>
      </c>
      <c r="AB222">
        <v>0</v>
      </c>
      <c r="AC222">
        <v>0</v>
      </c>
      <c r="AD222">
        <v>0</v>
      </c>
      <c r="AE222">
        <v>7.07</v>
      </c>
      <c r="AF222">
        <v>0</v>
      </c>
      <c r="AG222">
        <v>0</v>
      </c>
      <c r="AH222">
        <v>0</v>
      </c>
      <c r="AI222">
        <v>6</v>
      </c>
      <c r="AJ222">
        <v>1</v>
      </c>
      <c r="AK222">
        <v>1</v>
      </c>
      <c r="AL222">
        <v>1</v>
      </c>
      <c r="AM222">
        <v>2</v>
      </c>
      <c r="AN222">
        <v>0</v>
      </c>
      <c r="AO222">
        <v>1</v>
      </c>
      <c r="AP222">
        <v>1</v>
      </c>
      <c r="AQ222">
        <v>0</v>
      </c>
      <c r="AR222">
        <v>0</v>
      </c>
      <c r="AS222" t="s">
        <v>3</v>
      </c>
      <c r="AT222">
        <v>0.48799999999999999</v>
      </c>
      <c r="AU222" t="s">
        <v>3</v>
      </c>
      <c r="AV222">
        <v>0</v>
      </c>
      <c r="AW222">
        <v>2</v>
      </c>
      <c r="AX222">
        <v>53861440</v>
      </c>
      <c r="AY222">
        <v>1</v>
      </c>
      <c r="AZ222">
        <v>0</v>
      </c>
      <c r="BA222">
        <v>334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CV222">
        <v>0</v>
      </c>
      <c r="CW222">
        <v>0</v>
      </c>
      <c r="CX222">
        <f>ROUND(Y222*Source!I211,9)</f>
        <v>2.4400000000000002E-2</v>
      </c>
      <c r="CY222">
        <f>AA222</f>
        <v>42.42</v>
      </c>
      <c r="CZ222">
        <f>AE222</f>
        <v>7.07</v>
      </c>
      <c r="DA222">
        <f>AI222</f>
        <v>6</v>
      </c>
      <c r="DB222">
        <f>ROUND(ROUND(AT222*CZ222,2),6)</f>
        <v>3.45</v>
      </c>
      <c r="DC222">
        <f>ROUND(ROUND(AT222*AG222,2),6)</f>
        <v>0</v>
      </c>
      <c r="DD222" t="s">
        <v>3</v>
      </c>
      <c r="DE222" t="s">
        <v>3</v>
      </c>
      <c r="DF222">
        <f>ROUND(ROUND(AE222*AI222,2)*CX222,2)</f>
        <v>1.04</v>
      </c>
      <c r="DG222">
        <f>ROUND(ROUND(AF222,2)*CX222,2)</f>
        <v>0</v>
      </c>
      <c r="DH222">
        <f>ROUND(ROUND(AG222,2)*CX222,2)</f>
        <v>0</v>
      </c>
      <c r="DI222">
        <f t="shared" si="92"/>
        <v>0</v>
      </c>
      <c r="DJ222">
        <f>DF222</f>
        <v>1.04</v>
      </c>
      <c r="DK222">
        <v>0</v>
      </c>
      <c r="DL222" t="s">
        <v>3</v>
      </c>
      <c r="DM222">
        <v>0</v>
      </c>
      <c r="DN222" t="s">
        <v>3</v>
      </c>
      <c r="DO222">
        <v>0</v>
      </c>
    </row>
    <row r="223" spans="1:119" x14ac:dyDescent="0.2">
      <c r="A223">
        <f>ROW(Source!A211)</f>
        <v>211</v>
      </c>
      <c r="B223">
        <v>53860087</v>
      </c>
      <c r="C223">
        <v>53861421</v>
      </c>
      <c r="D223">
        <v>33481860</v>
      </c>
      <c r="E223">
        <v>1</v>
      </c>
      <c r="F223">
        <v>1</v>
      </c>
      <c r="G223">
        <v>29506949</v>
      </c>
      <c r="H223">
        <v>3</v>
      </c>
      <c r="I223" t="s">
        <v>447</v>
      </c>
      <c r="J223" t="s">
        <v>449</v>
      </c>
      <c r="K223" t="s">
        <v>448</v>
      </c>
      <c r="L223">
        <v>1327</v>
      </c>
      <c r="N223">
        <v>1005</v>
      </c>
      <c r="O223" t="s">
        <v>100</v>
      </c>
      <c r="P223" t="s">
        <v>100</v>
      </c>
      <c r="Q223">
        <v>1</v>
      </c>
      <c r="W223">
        <v>0</v>
      </c>
      <c r="X223">
        <v>38374271</v>
      </c>
      <c r="Y223">
        <f>AT223</f>
        <v>112</v>
      </c>
      <c r="AA223">
        <v>862.58</v>
      </c>
      <c r="AB223">
        <v>0</v>
      </c>
      <c r="AC223">
        <v>0</v>
      </c>
      <c r="AD223">
        <v>0</v>
      </c>
      <c r="AE223">
        <v>127.6</v>
      </c>
      <c r="AF223">
        <v>0</v>
      </c>
      <c r="AG223">
        <v>0</v>
      </c>
      <c r="AH223">
        <v>0</v>
      </c>
      <c r="AI223">
        <v>6.76</v>
      </c>
      <c r="AJ223">
        <v>1</v>
      </c>
      <c r="AK223">
        <v>1</v>
      </c>
      <c r="AL223">
        <v>1</v>
      </c>
      <c r="AM223">
        <v>0</v>
      </c>
      <c r="AN223">
        <v>0</v>
      </c>
      <c r="AO223">
        <v>0</v>
      </c>
      <c r="AP223">
        <v>1</v>
      </c>
      <c r="AQ223">
        <v>0</v>
      </c>
      <c r="AR223">
        <v>0</v>
      </c>
      <c r="AS223" t="s">
        <v>3</v>
      </c>
      <c r="AT223">
        <v>112</v>
      </c>
      <c r="AU223" t="s">
        <v>3</v>
      </c>
      <c r="AV223">
        <v>0</v>
      </c>
      <c r="AW223">
        <v>1</v>
      </c>
      <c r="AX223">
        <v>-1</v>
      </c>
      <c r="AY223">
        <v>0</v>
      </c>
      <c r="AZ223">
        <v>0</v>
      </c>
      <c r="BA223" t="s">
        <v>3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CV223">
        <v>0</v>
      </c>
      <c r="CW223">
        <v>0</v>
      </c>
      <c r="CX223">
        <f>ROUND(Y223*Source!I211,9)</f>
        <v>5.6</v>
      </c>
      <c r="CY223">
        <f>AA223</f>
        <v>862.58</v>
      </c>
      <c r="CZ223">
        <f>AE223</f>
        <v>127.6</v>
      </c>
      <c r="DA223">
        <f>AI223</f>
        <v>6.76</v>
      </c>
      <c r="DB223">
        <f>ROUND(ROUND(AT223*CZ223,2),6)</f>
        <v>14291.2</v>
      </c>
      <c r="DC223">
        <f>ROUND(ROUND(AT223*AG223,2),6)</f>
        <v>0</v>
      </c>
      <c r="DD223" t="s">
        <v>3</v>
      </c>
      <c r="DE223" t="s">
        <v>3</v>
      </c>
      <c r="DF223">
        <f>ROUND(ROUND(AE223*AI223,2)*CX223,2)</f>
        <v>4830.45</v>
      </c>
      <c r="DG223">
        <f>ROUND(ROUND(AF223,2)*CX223,2)</f>
        <v>0</v>
      </c>
      <c r="DH223">
        <f>ROUND(ROUND(AG223,2)*CX223,2)</f>
        <v>0</v>
      </c>
      <c r="DI223">
        <f t="shared" si="92"/>
        <v>0</v>
      </c>
      <c r="DJ223">
        <f>DF223</f>
        <v>4830.45</v>
      </c>
      <c r="DK223">
        <v>0</v>
      </c>
      <c r="DL223" t="s">
        <v>3</v>
      </c>
      <c r="DM223">
        <v>0</v>
      </c>
      <c r="DN223" t="s">
        <v>3</v>
      </c>
      <c r="DO223">
        <v>0</v>
      </c>
    </row>
    <row r="224" spans="1:119" x14ac:dyDescent="0.2">
      <c r="A224">
        <f>ROW(Source!A211)</f>
        <v>211</v>
      </c>
      <c r="B224">
        <v>53860087</v>
      </c>
      <c r="C224">
        <v>53861421</v>
      </c>
      <c r="D224">
        <v>29574204</v>
      </c>
      <c r="E224">
        <v>1</v>
      </c>
      <c r="F224">
        <v>1</v>
      </c>
      <c r="G224">
        <v>29506949</v>
      </c>
      <c r="H224">
        <v>3</v>
      </c>
      <c r="I224" t="s">
        <v>273</v>
      </c>
      <c r="J224" t="s">
        <v>275</v>
      </c>
      <c r="K224" t="s">
        <v>443</v>
      </c>
      <c r="L224">
        <v>1348</v>
      </c>
      <c r="N224">
        <v>1009</v>
      </c>
      <c r="O224" t="s">
        <v>75</v>
      </c>
      <c r="P224" t="s">
        <v>75</v>
      </c>
      <c r="Q224">
        <v>1000</v>
      </c>
      <c r="W224">
        <v>0</v>
      </c>
      <c r="X224">
        <v>-2111103549</v>
      </c>
      <c r="Y224">
        <f>AT224</f>
        <v>0.04</v>
      </c>
      <c r="AA224">
        <v>91391.32</v>
      </c>
      <c r="AB224">
        <v>0</v>
      </c>
      <c r="AC224">
        <v>0</v>
      </c>
      <c r="AD224">
        <v>0</v>
      </c>
      <c r="AE224">
        <v>27362.67</v>
      </c>
      <c r="AF224">
        <v>0</v>
      </c>
      <c r="AG224">
        <v>0</v>
      </c>
      <c r="AH224">
        <v>0</v>
      </c>
      <c r="AI224">
        <v>3.34</v>
      </c>
      <c r="AJ224">
        <v>1</v>
      </c>
      <c r="AK224">
        <v>1</v>
      </c>
      <c r="AL224">
        <v>1</v>
      </c>
      <c r="AM224">
        <v>0</v>
      </c>
      <c r="AN224">
        <v>0</v>
      </c>
      <c r="AO224">
        <v>0</v>
      </c>
      <c r="AP224">
        <v>1</v>
      </c>
      <c r="AQ224">
        <v>0</v>
      </c>
      <c r="AR224">
        <v>0</v>
      </c>
      <c r="AS224" t="s">
        <v>3</v>
      </c>
      <c r="AT224">
        <v>0.04</v>
      </c>
      <c r="AU224" t="s">
        <v>3</v>
      </c>
      <c r="AV224">
        <v>0</v>
      </c>
      <c r="AW224">
        <v>1</v>
      </c>
      <c r="AX224">
        <v>-1</v>
      </c>
      <c r="AY224">
        <v>0</v>
      </c>
      <c r="AZ224">
        <v>0</v>
      </c>
      <c r="BA224" t="s">
        <v>3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CV224">
        <v>0</v>
      </c>
      <c r="CW224">
        <v>0</v>
      </c>
      <c r="CX224">
        <f>ROUND(Y224*Source!I211,9)</f>
        <v>2E-3</v>
      </c>
      <c r="CY224">
        <f>AA224</f>
        <v>91391.32</v>
      </c>
      <c r="CZ224">
        <f>AE224</f>
        <v>27362.67</v>
      </c>
      <c r="DA224">
        <f>AI224</f>
        <v>3.34</v>
      </c>
      <c r="DB224">
        <f>ROUND(ROUND(AT224*CZ224,2),6)</f>
        <v>1094.51</v>
      </c>
      <c r="DC224">
        <f>ROUND(ROUND(AT224*AG224,2),6)</f>
        <v>0</v>
      </c>
      <c r="DD224" t="s">
        <v>3</v>
      </c>
      <c r="DE224" t="s">
        <v>3</v>
      </c>
      <c r="DF224">
        <f>ROUND(ROUND(AE224*AI224,2)*CX224,2)</f>
        <v>182.78</v>
      </c>
      <c r="DG224">
        <f>ROUND(ROUND(AF224,2)*CX224,2)</f>
        <v>0</v>
      </c>
      <c r="DH224">
        <f>ROUND(ROUND(AG224,2)*CX224,2)</f>
        <v>0</v>
      </c>
      <c r="DI224">
        <f t="shared" si="92"/>
        <v>0</v>
      </c>
      <c r="DJ224">
        <f>DF224</f>
        <v>182.78</v>
      </c>
      <c r="DK224">
        <v>0</v>
      </c>
      <c r="DL224" t="s">
        <v>3</v>
      </c>
      <c r="DM224">
        <v>0</v>
      </c>
      <c r="DN224" t="s">
        <v>3</v>
      </c>
      <c r="DO224">
        <v>0</v>
      </c>
    </row>
    <row r="225" spans="1:119" x14ac:dyDescent="0.2">
      <c r="A225">
        <f>ROW(Source!A211)</f>
        <v>211</v>
      </c>
      <c r="B225">
        <v>53860087</v>
      </c>
      <c r="C225">
        <v>53861421</v>
      </c>
      <c r="D225">
        <v>29574231</v>
      </c>
      <c r="E225">
        <v>1</v>
      </c>
      <c r="F225">
        <v>1</v>
      </c>
      <c r="G225">
        <v>29506949</v>
      </c>
      <c r="H225">
        <v>3</v>
      </c>
      <c r="I225" t="s">
        <v>277</v>
      </c>
      <c r="J225" t="s">
        <v>279</v>
      </c>
      <c r="K225" t="s">
        <v>445</v>
      </c>
      <c r="L225">
        <v>1348</v>
      </c>
      <c r="N225">
        <v>1009</v>
      </c>
      <c r="O225" t="s">
        <v>75</v>
      </c>
      <c r="P225" t="s">
        <v>75</v>
      </c>
      <c r="Q225">
        <v>1000</v>
      </c>
      <c r="W225">
        <v>0</v>
      </c>
      <c r="X225">
        <v>188264796</v>
      </c>
      <c r="Y225">
        <f>AT225</f>
        <v>0.85489999999999999</v>
      </c>
      <c r="AA225">
        <v>12510.63</v>
      </c>
      <c r="AB225">
        <v>0</v>
      </c>
      <c r="AC225">
        <v>0</v>
      </c>
      <c r="AD225">
        <v>0</v>
      </c>
      <c r="AE225">
        <v>3971.63</v>
      </c>
      <c r="AF225">
        <v>0</v>
      </c>
      <c r="AG225">
        <v>0</v>
      </c>
      <c r="AH225">
        <v>0</v>
      </c>
      <c r="AI225">
        <v>3.15</v>
      </c>
      <c r="AJ225">
        <v>1</v>
      </c>
      <c r="AK225">
        <v>1</v>
      </c>
      <c r="AL225">
        <v>1</v>
      </c>
      <c r="AM225">
        <v>0</v>
      </c>
      <c r="AN225">
        <v>0</v>
      </c>
      <c r="AO225">
        <v>0</v>
      </c>
      <c r="AP225">
        <v>1</v>
      </c>
      <c r="AQ225">
        <v>0</v>
      </c>
      <c r="AR225">
        <v>0</v>
      </c>
      <c r="AS225" t="s">
        <v>3</v>
      </c>
      <c r="AT225">
        <v>0.85489999999999999</v>
      </c>
      <c r="AU225" t="s">
        <v>3</v>
      </c>
      <c r="AV225">
        <v>0</v>
      </c>
      <c r="AW225">
        <v>1</v>
      </c>
      <c r="AX225">
        <v>-1</v>
      </c>
      <c r="AY225">
        <v>0</v>
      </c>
      <c r="AZ225">
        <v>0</v>
      </c>
      <c r="BA225" t="s">
        <v>3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CV225">
        <v>0</v>
      </c>
      <c r="CW225">
        <v>0</v>
      </c>
      <c r="CX225">
        <f>ROUND(Y225*Source!I211,9)</f>
        <v>4.2744999999999998E-2</v>
      </c>
      <c r="CY225">
        <f>AA225</f>
        <v>12510.63</v>
      </c>
      <c r="CZ225">
        <f>AE225</f>
        <v>3971.63</v>
      </c>
      <c r="DA225">
        <f>AI225</f>
        <v>3.15</v>
      </c>
      <c r="DB225">
        <f>ROUND(ROUND(AT225*CZ225,2),6)</f>
        <v>3395.35</v>
      </c>
      <c r="DC225">
        <f>ROUND(ROUND(AT225*AG225,2),6)</f>
        <v>0</v>
      </c>
      <c r="DD225" t="s">
        <v>3</v>
      </c>
      <c r="DE225" t="s">
        <v>3</v>
      </c>
      <c r="DF225">
        <f>ROUND(ROUND(AE225*AI225,2)*CX225,2)</f>
        <v>534.77</v>
      </c>
      <c r="DG225">
        <f>ROUND(ROUND(AF225,2)*CX225,2)</f>
        <v>0</v>
      </c>
      <c r="DH225">
        <f>ROUND(ROUND(AG225,2)*CX225,2)</f>
        <v>0</v>
      </c>
      <c r="DI225">
        <f t="shared" si="92"/>
        <v>0</v>
      </c>
      <c r="DJ225">
        <f>DF225</f>
        <v>534.77</v>
      </c>
      <c r="DK225">
        <v>0</v>
      </c>
      <c r="DL225" t="s">
        <v>3</v>
      </c>
      <c r="DM225">
        <v>0</v>
      </c>
      <c r="DN225" t="s">
        <v>3</v>
      </c>
      <c r="DO225">
        <v>0</v>
      </c>
    </row>
    <row r="226" spans="1:119" x14ac:dyDescent="0.2">
      <c r="A226">
        <f>ROW(Source!A215)</f>
        <v>215</v>
      </c>
      <c r="B226">
        <v>53860087</v>
      </c>
      <c r="C226">
        <v>53860862</v>
      </c>
      <c r="D226">
        <v>29506954</v>
      </c>
      <c r="E226">
        <v>29506949</v>
      </c>
      <c r="F226">
        <v>1</v>
      </c>
      <c r="G226">
        <v>29506949</v>
      </c>
      <c r="H226">
        <v>1</v>
      </c>
      <c r="I226" t="s">
        <v>638</v>
      </c>
      <c r="J226" t="s">
        <v>3</v>
      </c>
      <c r="K226" t="s">
        <v>639</v>
      </c>
      <c r="L226">
        <v>1191</v>
      </c>
      <c r="N226">
        <v>1013</v>
      </c>
      <c r="O226" t="s">
        <v>640</v>
      </c>
      <c r="P226" t="s">
        <v>640</v>
      </c>
      <c r="Q226">
        <v>1</v>
      </c>
      <c r="W226">
        <v>0</v>
      </c>
      <c r="X226">
        <v>476480486</v>
      </c>
      <c r="Y226">
        <f>(AT226*1.15)</f>
        <v>33.556999999999995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1</v>
      </c>
      <c r="AJ226">
        <v>1</v>
      </c>
      <c r="AK226">
        <v>1</v>
      </c>
      <c r="AL226">
        <v>1</v>
      </c>
      <c r="AM226">
        <v>-2</v>
      </c>
      <c r="AN226">
        <v>0</v>
      </c>
      <c r="AO226">
        <v>1</v>
      </c>
      <c r="AP226">
        <v>1</v>
      </c>
      <c r="AQ226">
        <v>0</v>
      </c>
      <c r="AR226">
        <v>0</v>
      </c>
      <c r="AS226" t="s">
        <v>3</v>
      </c>
      <c r="AT226">
        <v>29.18</v>
      </c>
      <c r="AU226" t="s">
        <v>52</v>
      </c>
      <c r="AV226">
        <v>1</v>
      </c>
      <c r="AW226">
        <v>2</v>
      </c>
      <c r="AX226">
        <v>53861350</v>
      </c>
      <c r="AY226">
        <v>1</v>
      </c>
      <c r="AZ226">
        <v>0</v>
      </c>
      <c r="BA226">
        <v>338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CU226">
        <f>ROUND(AT226*Source!I215*AH226*AL226,2)</f>
        <v>0</v>
      </c>
      <c r="CV226">
        <f>ROUND(Y226*Source!I215,9)</f>
        <v>9.3959600000000005</v>
      </c>
      <c r="CW226">
        <v>0</v>
      </c>
      <c r="CX226">
        <f>ROUND(Y226*Source!I215,9)</f>
        <v>9.3959600000000005</v>
      </c>
      <c r="CY226">
        <f>AD226</f>
        <v>0</v>
      </c>
      <c r="CZ226">
        <f>AH226</f>
        <v>0</v>
      </c>
      <c r="DA226">
        <f>AL226</f>
        <v>1</v>
      </c>
      <c r="DB226">
        <f>ROUND((ROUND(AT226*CZ226,2)*1.15),6)</f>
        <v>0</v>
      </c>
      <c r="DC226">
        <f>ROUND((ROUND(AT226*AG226,2)*1.15),6)</f>
        <v>0</v>
      </c>
      <c r="DD226" t="s">
        <v>3</v>
      </c>
      <c r="DE226" t="s">
        <v>3</v>
      </c>
      <c r="DF226">
        <f>ROUND(ROUND(AE226,2)*CX226,2)</f>
        <v>0</v>
      </c>
      <c r="DG226">
        <f>ROUND(ROUND(AF226,2)*CX226,2)</f>
        <v>0</v>
      </c>
      <c r="DH226">
        <f>ROUND(ROUND(AG226,2)*CX226,2)</f>
        <v>0</v>
      </c>
      <c r="DI226">
        <f t="shared" si="92"/>
        <v>0</v>
      </c>
      <c r="DJ226">
        <f>DI226</f>
        <v>0</v>
      </c>
      <c r="DK226">
        <v>0</v>
      </c>
      <c r="DL226" t="s">
        <v>3</v>
      </c>
      <c r="DM226">
        <v>0</v>
      </c>
      <c r="DN226" t="s">
        <v>3</v>
      </c>
      <c r="DO226">
        <v>0</v>
      </c>
    </row>
    <row r="227" spans="1:119" x14ac:dyDescent="0.2">
      <c r="A227">
        <f>ROW(Source!A215)</f>
        <v>215</v>
      </c>
      <c r="B227">
        <v>53860087</v>
      </c>
      <c r="C227">
        <v>53860862</v>
      </c>
      <c r="D227">
        <v>29580613</v>
      </c>
      <c r="E227">
        <v>1</v>
      </c>
      <c r="F227">
        <v>1</v>
      </c>
      <c r="G227">
        <v>29506949</v>
      </c>
      <c r="H227">
        <v>2</v>
      </c>
      <c r="I227" t="s">
        <v>769</v>
      </c>
      <c r="J227" t="s">
        <v>770</v>
      </c>
      <c r="K227" t="s">
        <v>771</v>
      </c>
      <c r="L227">
        <v>1368</v>
      </c>
      <c r="N227">
        <v>1011</v>
      </c>
      <c r="O227" t="s">
        <v>647</v>
      </c>
      <c r="P227" t="s">
        <v>647</v>
      </c>
      <c r="Q227">
        <v>1</v>
      </c>
      <c r="W227">
        <v>0</v>
      </c>
      <c r="X227">
        <v>-694940319</v>
      </c>
      <c r="Y227">
        <f>(AT227*1.25)</f>
        <v>0.21250000000000002</v>
      </c>
      <c r="AA227">
        <v>0</v>
      </c>
      <c r="AB227">
        <v>7.06</v>
      </c>
      <c r="AC227">
        <v>0</v>
      </c>
      <c r="AD227">
        <v>0</v>
      </c>
      <c r="AE227">
        <v>0</v>
      </c>
      <c r="AF227">
        <v>0.8</v>
      </c>
      <c r="AG227">
        <v>0</v>
      </c>
      <c r="AH227">
        <v>0</v>
      </c>
      <c r="AI227">
        <v>1</v>
      </c>
      <c r="AJ227">
        <v>8.43</v>
      </c>
      <c r="AK227">
        <v>30.1</v>
      </c>
      <c r="AL227">
        <v>1</v>
      </c>
      <c r="AM227">
        <v>2</v>
      </c>
      <c r="AN227">
        <v>0</v>
      </c>
      <c r="AO227">
        <v>1</v>
      </c>
      <c r="AP227">
        <v>1</v>
      </c>
      <c r="AQ227">
        <v>0</v>
      </c>
      <c r="AR227">
        <v>0</v>
      </c>
      <c r="AS227" t="s">
        <v>3</v>
      </c>
      <c r="AT227">
        <v>0.17</v>
      </c>
      <c r="AU227" t="s">
        <v>51</v>
      </c>
      <c r="AV227">
        <v>0</v>
      </c>
      <c r="AW227">
        <v>2</v>
      </c>
      <c r="AX227">
        <v>53861352</v>
      </c>
      <c r="AY227">
        <v>1</v>
      </c>
      <c r="AZ227">
        <v>0</v>
      </c>
      <c r="BA227">
        <v>340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CV227">
        <v>0</v>
      </c>
      <c r="CW227">
        <f>ROUND(Y227*Source!I215,9)</f>
        <v>5.9499999999999997E-2</v>
      </c>
      <c r="CX227">
        <f>ROUND(Y227*Source!I215,9)</f>
        <v>5.9499999999999997E-2</v>
      </c>
      <c r="CY227">
        <f>AB227</f>
        <v>7.06</v>
      </c>
      <c r="CZ227">
        <f>AF227</f>
        <v>0.8</v>
      </c>
      <c r="DA227">
        <f>AJ227</f>
        <v>8.43</v>
      </c>
      <c r="DB227">
        <f>ROUND((ROUND(AT227*CZ227,2)*1.25),6)</f>
        <v>0.17499999999999999</v>
      </c>
      <c r="DC227">
        <f>ROUND((ROUND(AT227*AG227,2)*1.25),6)</f>
        <v>0</v>
      </c>
      <c r="DD227" t="s">
        <v>3</v>
      </c>
      <c r="DE227" t="s">
        <v>3</v>
      </c>
      <c r="DF227">
        <f>ROUND(ROUND(AE227,2)*CX227,2)</f>
        <v>0</v>
      </c>
      <c r="DG227">
        <f>ROUND(ROUND(AF227*AJ227,2)*CX227,2)</f>
        <v>0.4</v>
      </c>
      <c r="DH227">
        <f>ROUND(ROUND(AG227*AK227,2)*CX227,2)</f>
        <v>0</v>
      </c>
      <c r="DI227">
        <f t="shared" si="92"/>
        <v>0</v>
      </c>
      <c r="DJ227">
        <f>DG227</f>
        <v>0.4</v>
      </c>
      <c r="DK227">
        <v>0</v>
      </c>
      <c r="DL227" t="s">
        <v>3</v>
      </c>
      <c r="DM227">
        <v>0</v>
      </c>
      <c r="DN227" t="s">
        <v>3</v>
      </c>
      <c r="DO227">
        <v>0</v>
      </c>
    </row>
    <row r="228" spans="1:119" x14ac:dyDescent="0.2">
      <c r="A228">
        <f>ROW(Source!A215)</f>
        <v>215</v>
      </c>
      <c r="B228">
        <v>53860087</v>
      </c>
      <c r="C228">
        <v>53860862</v>
      </c>
      <c r="D228">
        <v>29507683</v>
      </c>
      <c r="E228">
        <v>29506949</v>
      </c>
      <c r="F228">
        <v>1</v>
      </c>
      <c r="G228">
        <v>29506949</v>
      </c>
      <c r="H228">
        <v>2</v>
      </c>
      <c r="I228" t="s">
        <v>641</v>
      </c>
      <c r="J228" t="s">
        <v>3</v>
      </c>
      <c r="K228" t="s">
        <v>642</v>
      </c>
      <c r="L228">
        <v>1344</v>
      </c>
      <c r="N228">
        <v>1008</v>
      </c>
      <c r="O228" t="s">
        <v>643</v>
      </c>
      <c r="P228" t="s">
        <v>643</v>
      </c>
      <c r="Q228">
        <v>1</v>
      </c>
      <c r="W228">
        <v>0</v>
      </c>
      <c r="X228">
        <v>-1180195794</v>
      </c>
      <c r="Y228">
        <f>(AT228*1.25)</f>
        <v>2.4500000000000002</v>
      </c>
      <c r="AA228">
        <v>0</v>
      </c>
      <c r="AB228">
        <v>1.05</v>
      </c>
      <c r="AC228">
        <v>0</v>
      </c>
      <c r="AD228">
        <v>0</v>
      </c>
      <c r="AE228">
        <v>0</v>
      </c>
      <c r="AF228">
        <v>1</v>
      </c>
      <c r="AG228">
        <v>0</v>
      </c>
      <c r="AH228">
        <v>0</v>
      </c>
      <c r="AI228">
        <v>1</v>
      </c>
      <c r="AJ228">
        <v>1</v>
      </c>
      <c r="AK228">
        <v>1</v>
      </c>
      <c r="AL228">
        <v>1</v>
      </c>
      <c r="AM228">
        <v>-2</v>
      </c>
      <c r="AN228">
        <v>0</v>
      </c>
      <c r="AO228">
        <v>1</v>
      </c>
      <c r="AP228">
        <v>1</v>
      </c>
      <c r="AQ228">
        <v>0</v>
      </c>
      <c r="AR228">
        <v>0</v>
      </c>
      <c r="AS228" t="s">
        <v>3</v>
      </c>
      <c r="AT228">
        <v>1.96</v>
      </c>
      <c r="AU228" t="s">
        <v>51</v>
      </c>
      <c r="AV228">
        <v>0</v>
      </c>
      <c r="AW228">
        <v>1</v>
      </c>
      <c r="AX228">
        <v>-1</v>
      </c>
      <c r="AY228">
        <v>0</v>
      </c>
      <c r="AZ228">
        <v>0</v>
      </c>
      <c r="BA228" t="s">
        <v>3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CV228">
        <v>0</v>
      </c>
      <c r="CW228">
        <f>ROUND(Y228*Source!I215,9)</f>
        <v>0.68600000000000005</v>
      </c>
      <c r="CX228">
        <f>ROUND(Y228*Source!I215,9)</f>
        <v>0.68600000000000005</v>
      </c>
      <c r="CY228">
        <f>AB228</f>
        <v>1.05</v>
      </c>
      <c r="CZ228">
        <f>AF228</f>
        <v>1</v>
      </c>
      <c r="DA228">
        <f>AJ228</f>
        <v>1</v>
      </c>
      <c r="DB228">
        <f>ROUND((ROUND(AT228*CZ228,2)*1.25),6)</f>
        <v>2.4500000000000002</v>
      </c>
      <c r="DC228">
        <f>ROUND((ROUND(AT228*AG228,2)*1.25),6)</f>
        <v>0</v>
      </c>
      <c r="DD228" t="s">
        <v>3</v>
      </c>
      <c r="DE228" t="s">
        <v>3</v>
      </c>
      <c r="DF228">
        <f>ROUND(ROUND(AE228,2)*CX228,2)</f>
        <v>0</v>
      </c>
      <c r="DG228">
        <f t="shared" ref="DG228:DG233" si="95">ROUND(ROUND(AF228,2)*CX228,2)</f>
        <v>0.69</v>
      </c>
      <c r="DH228">
        <f t="shared" ref="DH228:DH233" si="96">ROUND(ROUND(AG228,2)*CX228,2)</f>
        <v>0</v>
      </c>
      <c r="DI228">
        <f t="shared" si="92"/>
        <v>0</v>
      </c>
      <c r="DJ228">
        <f>DG228</f>
        <v>0.69</v>
      </c>
      <c r="DK228">
        <v>0</v>
      </c>
      <c r="DL228" t="s">
        <v>3</v>
      </c>
      <c r="DM228">
        <v>0</v>
      </c>
      <c r="DN228" t="s">
        <v>3</v>
      </c>
      <c r="DO228">
        <v>0</v>
      </c>
    </row>
    <row r="229" spans="1:119" x14ac:dyDescent="0.2">
      <c r="A229">
        <f>ROW(Source!A215)</f>
        <v>215</v>
      </c>
      <c r="B229">
        <v>53860087</v>
      </c>
      <c r="C229">
        <v>53860862</v>
      </c>
      <c r="D229">
        <v>29555598</v>
      </c>
      <c r="E229">
        <v>1</v>
      </c>
      <c r="F229">
        <v>1</v>
      </c>
      <c r="G229">
        <v>29506949</v>
      </c>
      <c r="H229">
        <v>3</v>
      </c>
      <c r="I229" t="s">
        <v>68</v>
      </c>
      <c r="J229" t="s">
        <v>71</v>
      </c>
      <c r="K229" t="s">
        <v>69</v>
      </c>
      <c r="L229">
        <v>1339</v>
      </c>
      <c r="N229">
        <v>1007</v>
      </c>
      <c r="O229" t="s">
        <v>70</v>
      </c>
      <c r="P229" t="s">
        <v>70</v>
      </c>
      <c r="Q229">
        <v>1</v>
      </c>
      <c r="W229">
        <v>0</v>
      </c>
      <c r="X229">
        <v>-862991314</v>
      </c>
      <c r="Y229">
        <f>AT229</f>
        <v>0.01</v>
      </c>
      <c r="AA229">
        <v>42.42</v>
      </c>
      <c r="AB229">
        <v>0</v>
      </c>
      <c r="AC229">
        <v>0</v>
      </c>
      <c r="AD229">
        <v>0</v>
      </c>
      <c r="AE229">
        <v>7.07</v>
      </c>
      <c r="AF229">
        <v>0</v>
      </c>
      <c r="AG229">
        <v>0</v>
      </c>
      <c r="AH229">
        <v>0</v>
      </c>
      <c r="AI229">
        <v>6</v>
      </c>
      <c r="AJ229">
        <v>1</v>
      </c>
      <c r="AK229">
        <v>1</v>
      </c>
      <c r="AL229">
        <v>1</v>
      </c>
      <c r="AM229">
        <v>2</v>
      </c>
      <c r="AN229">
        <v>0</v>
      </c>
      <c r="AO229">
        <v>1</v>
      </c>
      <c r="AP229">
        <v>1</v>
      </c>
      <c r="AQ229">
        <v>0</v>
      </c>
      <c r="AR229">
        <v>0</v>
      </c>
      <c r="AS229" t="s">
        <v>3</v>
      </c>
      <c r="AT229">
        <v>0.01</v>
      </c>
      <c r="AU229" t="s">
        <v>3</v>
      </c>
      <c r="AV229">
        <v>0</v>
      </c>
      <c r="AW229">
        <v>2</v>
      </c>
      <c r="AX229">
        <v>53861353</v>
      </c>
      <c r="AY229">
        <v>1</v>
      </c>
      <c r="AZ229">
        <v>0</v>
      </c>
      <c r="BA229">
        <v>341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CV229">
        <v>0</v>
      </c>
      <c r="CW229">
        <v>0</v>
      </c>
      <c r="CX229">
        <f>ROUND(Y229*Source!I215,9)</f>
        <v>2.8E-3</v>
      </c>
      <c r="CY229">
        <f>AA229</f>
        <v>42.42</v>
      </c>
      <c r="CZ229">
        <f>AE229</f>
        <v>7.07</v>
      </c>
      <c r="DA229">
        <f>AI229</f>
        <v>6</v>
      </c>
      <c r="DB229">
        <f>ROUND(ROUND(AT229*CZ229,2),6)</f>
        <v>7.0000000000000007E-2</v>
      </c>
      <c r="DC229">
        <f>ROUND(ROUND(AT229*AG229,2),6)</f>
        <v>0</v>
      </c>
      <c r="DD229" t="s">
        <v>3</v>
      </c>
      <c r="DE229" t="s">
        <v>3</v>
      </c>
      <c r="DF229">
        <f>ROUND(ROUND(AE229*AI229,2)*CX229,2)</f>
        <v>0.12</v>
      </c>
      <c r="DG229">
        <f t="shared" si="95"/>
        <v>0</v>
      </c>
      <c r="DH229">
        <f t="shared" si="96"/>
        <v>0</v>
      </c>
      <c r="DI229">
        <f t="shared" si="92"/>
        <v>0</v>
      </c>
      <c r="DJ229">
        <f>DF229</f>
        <v>0.12</v>
      </c>
      <c r="DK229">
        <v>0</v>
      </c>
      <c r="DL229" t="s">
        <v>3</v>
      </c>
      <c r="DM229">
        <v>0</v>
      </c>
      <c r="DN229" t="s">
        <v>3</v>
      </c>
      <c r="DO229">
        <v>0</v>
      </c>
    </row>
    <row r="230" spans="1:119" x14ac:dyDescent="0.2">
      <c r="A230">
        <f>ROW(Source!A215)</f>
        <v>215</v>
      </c>
      <c r="B230">
        <v>53860087</v>
      </c>
      <c r="C230">
        <v>53860862</v>
      </c>
      <c r="D230">
        <v>33481860</v>
      </c>
      <c r="E230">
        <v>1</v>
      </c>
      <c r="F230">
        <v>1</v>
      </c>
      <c r="G230">
        <v>29506949</v>
      </c>
      <c r="H230">
        <v>3</v>
      </c>
      <c r="I230" t="s">
        <v>447</v>
      </c>
      <c r="J230" t="s">
        <v>449</v>
      </c>
      <c r="K230" t="s">
        <v>448</v>
      </c>
      <c r="L230">
        <v>1327</v>
      </c>
      <c r="N230">
        <v>1005</v>
      </c>
      <c r="O230" t="s">
        <v>100</v>
      </c>
      <c r="P230" t="s">
        <v>100</v>
      </c>
      <c r="Q230">
        <v>1</v>
      </c>
      <c r="W230">
        <v>0</v>
      </c>
      <c r="X230">
        <v>38374271</v>
      </c>
      <c r="Y230">
        <f>AT230</f>
        <v>10.199999999999999</v>
      </c>
      <c r="AA230">
        <v>862.58</v>
      </c>
      <c r="AB230">
        <v>0</v>
      </c>
      <c r="AC230">
        <v>0</v>
      </c>
      <c r="AD230">
        <v>0</v>
      </c>
      <c r="AE230">
        <v>127.6</v>
      </c>
      <c r="AF230">
        <v>0</v>
      </c>
      <c r="AG230">
        <v>0</v>
      </c>
      <c r="AH230">
        <v>0</v>
      </c>
      <c r="AI230">
        <v>6.76</v>
      </c>
      <c r="AJ230">
        <v>1</v>
      </c>
      <c r="AK230">
        <v>1</v>
      </c>
      <c r="AL230">
        <v>1</v>
      </c>
      <c r="AM230">
        <v>0</v>
      </c>
      <c r="AN230">
        <v>0</v>
      </c>
      <c r="AO230">
        <v>0</v>
      </c>
      <c r="AP230">
        <v>1</v>
      </c>
      <c r="AQ230">
        <v>0</v>
      </c>
      <c r="AR230">
        <v>0</v>
      </c>
      <c r="AS230" t="s">
        <v>3</v>
      </c>
      <c r="AT230">
        <v>10.199999999999999</v>
      </c>
      <c r="AU230" t="s">
        <v>3</v>
      </c>
      <c r="AV230">
        <v>0</v>
      </c>
      <c r="AW230">
        <v>1</v>
      </c>
      <c r="AX230">
        <v>-1</v>
      </c>
      <c r="AY230">
        <v>0</v>
      </c>
      <c r="AZ230">
        <v>0</v>
      </c>
      <c r="BA230" t="s">
        <v>3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CV230">
        <v>0</v>
      </c>
      <c r="CW230">
        <v>0</v>
      </c>
      <c r="CX230">
        <f>ROUND(Y230*Source!I215,9)</f>
        <v>2.8559999999999999</v>
      </c>
      <c r="CY230">
        <f>AA230</f>
        <v>862.58</v>
      </c>
      <c r="CZ230">
        <f>AE230</f>
        <v>127.6</v>
      </c>
      <c r="DA230">
        <f>AI230</f>
        <v>6.76</v>
      </c>
      <c r="DB230">
        <f>ROUND(ROUND(AT230*CZ230,2),6)</f>
        <v>1301.52</v>
      </c>
      <c r="DC230">
        <f>ROUND(ROUND(AT230*AG230,2),6)</f>
        <v>0</v>
      </c>
      <c r="DD230" t="s">
        <v>3</v>
      </c>
      <c r="DE230" t="s">
        <v>3</v>
      </c>
      <c r="DF230">
        <f>ROUND(ROUND(AE230*AI230,2)*CX230,2)</f>
        <v>2463.5300000000002</v>
      </c>
      <c r="DG230">
        <f t="shared" si="95"/>
        <v>0</v>
      </c>
      <c r="DH230">
        <f t="shared" si="96"/>
        <v>0</v>
      </c>
      <c r="DI230">
        <f t="shared" si="92"/>
        <v>0</v>
      </c>
      <c r="DJ230">
        <f>DF230</f>
        <v>2463.5300000000002</v>
      </c>
      <c r="DK230">
        <v>0</v>
      </c>
      <c r="DL230" t="s">
        <v>3</v>
      </c>
      <c r="DM230">
        <v>0</v>
      </c>
      <c r="DN230" t="s">
        <v>3</v>
      </c>
      <c r="DO230">
        <v>0</v>
      </c>
    </row>
    <row r="231" spans="1:119" x14ac:dyDescent="0.2">
      <c r="A231">
        <f>ROW(Source!A215)</f>
        <v>215</v>
      </c>
      <c r="B231">
        <v>53860087</v>
      </c>
      <c r="C231">
        <v>53860862</v>
      </c>
      <c r="D231">
        <v>29574204</v>
      </c>
      <c r="E231">
        <v>1</v>
      </c>
      <c r="F231">
        <v>1</v>
      </c>
      <c r="G231">
        <v>29506949</v>
      </c>
      <c r="H231">
        <v>3</v>
      </c>
      <c r="I231" t="s">
        <v>273</v>
      </c>
      <c r="J231" t="s">
        <v>275</v>
      </c>
      <c r="K231" t="s">
        <v>443</v>
      </c>
      <c r="L231">
        <v>1348</v>
      </c>
      <c r="N231">
        <v>1009</v>
      </c>
      <c r="O231" t="s">
        <v>75</v>
      </c>
      <c r="P231" t="s">
        <v>75</v>
      </c>
      <c r="Q231">
        <v>1000</v>
      </c>
      <c r="W231">
        <v>0</v>
      </c>
      <c r="X231">
        <v>-2111103549</v>
      </c>
      <c r="Y231">
        <f>AT231</f>
        <v>6.0000000000000001E-3</v>
      </c>
      <c r="AA231">
        <v>91391.32</v>
      </c>
      <c r="AB231">
        <v>0</v>
      </c>
      <c r="AC231">
        <v>0</v>
      </c>
      <c r="AD231">
        <v>0</v>
      </c>
      <c r="AE231">
        <v>27362.67</v>
      </c>
      <c r="AF231">
        <v>0</v>
      </c>
      <c r="AG231">
        <v>0</v>
      </c>
      <c r="AH231">
        <v>0</v>
      </c>
      <c r="AI231">
        <v>3.34</v>
      </c>
      <c r="AJ231">
        <v>1</v>
      </c>
      <c r="AK231">
        <v>1</v>
      </c>
      <c r="AL231">
        <v>1</v>
      </c>
      <c r="AM231">
        <v>0</v>
      </c>
      <c r="AN231">
        <v>0</v>
      </c>
      <c r="AO231">
        <v>0</v>
      </c>
      <c r="AP231">
        <v>1</v>
      </c>
      <c r="AQ231">
        <v>0</v>
      </c>
      <c r="AR231">
        <v>0</v>
      </c>
      <c r="AS231" t="s">
        <v>3</v>
      </c>
      <c r="AT231">
        <v>6.0000000000000001E-3</v>
      </c>
      <c r="AU231" t="s">
        <v>3</v>
      </c>
      <c r="AV231">
        <v>0</v>
      </c>
      <c r="AW231">
        <v>1</v>
      </c>
      <c r="AX231">
        <v>-1</v>
      </c>
      <c r="AY231">
        <v>0</v>
      </c>
      <c r="AZ231">
        <v>0</v>
      </c>
      <c r="BA231" t="s">
        <v>3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CV231">
        <v>0</v>
      </c>
      <c r="CW231">
        <v>0</v>
      </c>
      <c r="CX231">
        <f>ROUND(Y231*Source!I215,9)</f>
        <v>1.6800000000000001E-3</v>
      </c>
      <c r="CY231">
        <f>AA231</f>
        <v>91391.32</v>
      </c>
      <c r="CZ231">
        <f>AE231</f>
        <v>27362.67</v>
      </c>
      <c r="DA231">
        <f>AI231</f>
        <v>3.34</v>
      </c>
      <c r="DB231">
        <f>ROUND(ROUND(AT231*CZ231,2),6)</f>
        <v>164.18</v>
      </c>
      <c r="DC231">
        <f>ROUND(ROUND(AT231*AG231,2),6)</f>
        <v>0</v>
      </c>
      <c r="DD231" t="s">
        <v>3</v>
      </c>
      <c r="DE231" t="s">
        <v>3</v>
      </c>
      <c r="DF231">
        <f>ROUND(ROUND(AE231*AI231,2)*CX231,2)</f>
        <v>153.54</v>
      </c>
      <c r="DG231">
        <f t="shared" si="95"/>
        <v>0</v>
      </c>
      <c r="DH231">
        <f t="shared" si="96"/>
        <v>0</v>
      </c>
      <c r="DI231">
        <f t="shared" si="92"/>
        <v>0</v>
      </c>
      <c r="DJ231">
        <f>DF231</f>
        <v>153.54</v>
      </c>
      <c r="DK231">
        <v>0</v>
      </c>
      <c r="DL231" t="s">
        <v>3</v>
      </c>
      <c r="DM231">
        <v>0</v>
      </c>
      <c r="DN231" t="s">
        <v>3</v>
      </c>
      <c r="DO231">
        <v>0</v>
      </c>
    </row>
    <row r="232" spans="1:119" x14ac:dyDescent="0.2">
      <c r="A232">
        <f>ROW(Source!A215)</f>
        <v>215</v>
      </c>
      <c r="B232">
        <v>53860087</v>
      </c>
      <c r="C232">
        <v>53860862</v>
      </c>
      <c r="D232">
        <v>29574231</v>
      </c>
      <c r="E232">
        <v>1</v>
      </c>
      <c r="F232">
        <v>1</v>
      </c>
      <c r="G232">
        <v>29506949</v>
      </c>
      <c r="H232">
        <v>3</v>
      </c>
      <c r="I232" t="s">
        <v>277</v>
      </c>
      <c r="J232" t="s">
        <v>279</v>
      </c>
      <c r="K232" t="s">
        <v>445</v>
      </c>
      <c r="L232">
        <v>1348</v>
      </c>
      <c r="N232">
        <v>1009</v>
      </c>
      <c r="O232" t="s">
        <v>75</v>
      </c>
      <c r="P232" t="s">
        <v>75</v>
      </c>
      <c r="Q232">
        <v>1000</v>
      </c>
      <c r="W232">
        <v>0</v>
      </c>
      <c r="X232">
        <v>188264796</v>
      </c>
      <c r="Y232">
        <f>AT232</f>
        <v>4.2999999999999997E-2</v>
      </c>
      <c r="AA232">
        <v>12510.63</v>
      </c>
      <c r="AB232">
        <v>0</v>
      </c>
      <c r="AC232">
        <v>0</v>
      </c>
      <c r="AD232">
        <v>0</v>
      </c>
      <c r="AE232">
        <v>3971.63</v>
      </c>
      <c r="AF232">
        <v>0</v>
      </c>
      <c r="AG232">
        <v>0</v>
      </c>
      <c r="AH232">
        <v>0</v>
      </c>
      <c r="AI232">
        <v>3.15</v>
      </c>
      <c r="AJ232">
        <v>1</v>
      </c>
      <c r="AK232">
        <v>1</v>
      </c>
      <c r="AL232">
        <v>1</v>
      </c>
      <c r="AM232">
        <v>0</v>
      </c>
      <c r="AN232">
        <v>0</v>
      </c>
      <c r="AO232">
        <v>0</v>
      </c>
      <c r="AP232">
        <v>1</v>
      </c>
      <c r="AQ232">
        <v>0</v>
      </c>
      <c r="AR232">
        <v>0</v>
      </c>
      <c r="AS232" t="s">
        <v>3</v>
      </c>
      <c r="AT232">
        <v>4.2999999999999997E-2</v>
      </c>
      <c r="AU232" t="s">
        <v>3</v>
      </c>
      <c r="AV232">
        <v>0</v>
      </c>
      <c r="AW232">
        <v>1</v>
      </c>
      <c r="AX232">
        <v>-1</v>
      </c>
      <c r="AY232">
        <v>0</v>
      </c>
      <c r="AZ232">
        <v>0</v>
      </c>
      <c r="BA232" t="s">
        <v>3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CV232">
        <v>0</v>
      </c>
      <c r="CW232">
        <v>0</v>
      </c>
      <c r="CX232">
        <f>ROUND(Y232*Source!I215,9)</f>
        <v>1.204E-2</v>
      </c>
      <c r="CY232">
        <f>AA232</f>
        <v>12510.63</v>
      </c>
      <c r="CZ232">
        <f>AE232</f>
        <v>3971.63</v>
      </c>
      <c r="DA232">
        <f>AI232</f>
        <v>3.15</v>
      </c>
      <c r="DB232">
        <f>ROUND(ROUND(AT232*CZ232,2),6)</f>
        <v>170.78</v>
      </c>
      <c r="DC232">
        <f>ROUND(ROUND(AT232*AG232,2),6)</f>
        <v>0</v>
      </c>
      <c r="DD232" t="s">
        <v>3</v>
      </c>
      <c r="DE232" t="s">
        <v>3</v>
      </c>
      <c r="DF232">
        <f>ROUND(ROUND(AE232*AI232,2)*CX232,2)</f>
        <v>150.63</v>
      </c>
      <c r="DG232">
        <f t="shared" si="95"/>
        <v>0</v>
      </c>
      <c r="DH232">
        <f t="shared" si="96"/>
        <v>0</v>
      </c>
      <c r="DI232">
        <f t="shared" si="92"/>
        <v>0</v>
      </c>
      <c r="DJ232">
        <f>DF232</f>
        <v>150.63</v>
      </c>
      <c r="DK232">
        <v>0</v>
      </c>
      <c r="DL232" t="s">
        <v>3</v>
      </c>
      <c r="DM232">
        <v>0</v>
      </c>
      <c r="DN232" t="s">
        <v>3</v>
      </c>
      <c r="DO232">
        <v>0</v>
      </c>
    </row>
    <row r="233" spans="1:119" x14ac:dyDescent="0.2">
      <c r="A233">
        <f>ROW(Source!A219)</f>
        <v>219</v>
      </c>
      <c r="B233">
        <v>53860087</v>
      </c>
      <c r="C233">
        <v>53860880</v>
      </c>
      <c r="D233">
        <v>29506954</v>
      </c>
      <c r="E233">
        <v>29506949</v>
      </c>
      <c r="F233">
        <v>1</v>
      </c>
      <c r="G233">
        <v>29506949</v>
      </c>
      <c r="H233">
        <v>1</v>
      </c>
      <c r="I233" t="s">
        <v>638</v>
      </c>
      <c r="J233" t="s">
        <v>3</v>
      </c>
      <c r="K233" t="s">
        <v>639</v>
      </c>
      <c r="L233">
        <v>1191</v>
      </c>
      <c r="N233">
        <v>1013</v>
      </c>
      <c r="O233" t="s">
        <v>640</v>
      </c>
      <c r="P233" t="s">
        <v>640</v>
      </c>
      <c r="Q233">
        <v>1</v>
      </c>
      <c r="W233">
        <v>0</v>
      </c>
      <c r="X233">
        <v>476480486</v>
      </c>
      <c r="Y233">
        <f>(AT233*1.15)</f>
        <v>37.972999999999999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1</v>
      </c>
      <c r="AJ233">
        <v>1</v>
      </c>
      <c r="AK233">
        <v>1</v>
      </c>
      <c r="AL233">
        <v>1</v>
      </c>
      <c r="AM233">
        <v>-2</v>
      </c>
      <c r="AN233">
        <v>0</v>
      </c>
      <c r="AO233">
        <v>1</v>
      </c>
      <c r="AP233">
        <v>1</v>
      </c>
      <c r="AQ233">
        <v>0</v>
      </c>
      <c r="AR233">
        <v>0</v>
      </c>
      <c r="AS233" t="s">
        <v>3</v>
      </c>
      <c r="AT233">
        <v>33.020000000000003</v>
      </c>
      <c r="AU233" t="s">
        <v>52</v>
      </c>
      <c r="AV233">
        <v>1</v>
      </c>
      <c r="AW233">
        <v>2</v>
      </c>
      <c r="AX233">
        <v>53861357</v>
      </c>
      <c r="AY233">
        <v>1</v>
      </c>
      <c r="AZ233">
        <v>0</v>
      </c>
      <c r="BA233">
        <v>345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CU233">
        <f>ROUND(AT233*Source!I219*AH233*AL233,2)</f>
        <v>0</v>
      </c>
      <c r="CV233">
        <f>ROUND(Y233*Source!I219,9)</f>
        <v>45.567599999999999</v>
      </c>
      <c r="CW233">
        <v>0</v>
      </c>
      <c r="CX233">
        <f>ROUND(Y233*Source!I219,9)</f>
        <v>45.567599999999999</v>
      </c>
      <c r="CY233">
        <f>AD233</f>
        <v>0</v>
      </c>
      <c r="CZ233">
        <f>AH233</f>
        <v>0</v>
      </c>
      <c r="DA233">
        <f>AL233</f>
        <v>1</v>
      </c>
      <c r="DB233">
        <f>ROUND((ROUND(AT233*CZ233,2)*1.15),6)</f>
        <v>0</v>
      </c>
      <c r="DC233">
        <f>ROUND((ROUND(AT233*AG233,2)*1.15),6)</f>
        <v>0</v>
      </c>
      <c r="DD233" t="s">
        <v>3</v>
      </c>
      <c r="DE233" t="s">
        <v>3</v>
      </c>
      <c r="DF233">
        <f t="shared" ref="DF233:DF238" si="97">ROUND(ROUND(AE233,2)*CX233,2)</f>
        <v>0</v>
      </c>
      <c r="DG233">
        <f t="shared" si="95"/>
        <v>0</v>
      </c>
      <c r="DH233">
        <f t="shared" si="96"/>
        <v>0</v>
      </c>
      <c r="DI233">
        <f t="shared" si="92"/>
        <v>0</v>
      </c>
      <c r="DJ233">
        <f>DI233</f>
        <v>0</v>
      </c>
      <c r="DK233">
        <v>0</v>
      </c>
      <c r="DL233" t="s">
        <v>3</v>
      </c>
      <c r="DM233">
        <v>0</v>
      </c>
      <c r="DN233" t="s">
        <v>3</v>
      </c>
      <c r="DO233">
        <v>0</v>
      </c>
    </row>
    <row r="234" spans="1:119" x14ac:dyDescent="0.2">
      <c r="A234">
        <f>ROW(Source!A219)</f>
        <v>219</v>
      </c>
      <c r="B234">
        <v>53860087</v>
      </c>
      <c r="C234">
        <v>53860880</v>
      </c>
      <c r="D234">
        <v>29580239</v>
      </c>
      <c r="E234">
        <v>1</v>
      </c>
      <c r="F234">
        <v>1</v>
      </c>
      <c r="G234">
        <v>29506949</v>
      </c>
      <c r="H234">
        <v>2</v>
      </c>
      <c r="I234" t="s">
        <v>778</v>
      </c>
      <c r="J234" t="s">
        <v>779</v>
      </c>
      <c r="K234" t="s">
        <v>780</v>
      </c>
      <c r="L234">
        <v>1368</v>
      </c>
      <c r="N234">
        <v>1011</v>
      </c>
      <c r="O234" t="s">
        <v>647</v>
      </c>
      <c r="P234" t="s">
        <v>647</v>
      </c>
      <c r="Q234">
        <v>1</v>
      </c>
      <c r="W234">
        <v>0</v>
      </c>
      <c r="X234">
        <v>207661963</v>
      </c>
      <c r="Y234">
        <f>(AT234*1.25)</f>
        <v>3</v>
      </c>
      <c r="AA234">
        <v>0</v>
      </c>
      <c r="AB234">
        <v>43.75</v>
      </c>
      <c r="AC234">
        <v>0</v>
      </c>
      <c r="AD234">
        <v>0</v>
      </c>
      <c r="AE234">
        <v>0</v>
      </c>
      <c r="AF234">
        <v>4.6900000000000004</v>
      </c>
      <c r="AG234">
        <v>0</v>
      </c>
      <c r="AH234">
        <v>0</v>
      </c>
      <c r="AI234">
        <v>1</v>
      </c>
      <c r="AJ234">
        <v>8.91</v>
      </c>
      <c r="AK234">
        <v>30.1</v>
      </c>
      <c r="AL234">
        <v>1</v>
      </c>
      <c r="AM234">
        <v>2</v>
      </c>
      <c r="AN234">
        <v>0</v>
      </c>
      <c r="AO234">
        <v>1</v>
      </c>
      <c r="AP234">
        <v>1</v>
      </c>
      <c r="AQ234">
        <v>0</v>
      </c>
      <c r="AR234">
        <v>0</v>
      </c>
      <c r="AS234" t="s">
        <v>3</v>
      </c>
      <c r="AT234">
        <v>2.4</v>
      </c>
      <c r="AU234" t="s">
        <v>51</v>
      </c>
      <c r="AV234">
        <v>0</v>
      </c>
      <c r="AW234">
        <v>2</v>
      </c>
      <c r="AX234">
        <v>53861358</v>
      </c>
      <c r="AY234">
        <v>1</v>
      </c>
      <c r="AZ234">
        <v>0</v>
      </c>
      <c r="BA234">
        <v>346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CV234">
        <v>0</v>
      </c>
      <c r="CW234">
        <f>ROUND(Y234*Source!I219,9)</f>
        <v>3.6</v>
      </c>
      <c r="CX234">
        <f>ROUND(Y234*Source!I219,9)</f>
        <v>3.6</v>
      </c>
      <c r="CY234">
        <f>AB234</f>
        <v>43.75</v>
      </c>
      <c r="CZ234">
        <f>AF234</f>
        <v>4.6900000000000004</v>
      </c>
      <c r="DA234">
        <f>AJ234</f>
        <v>8.91</v>
      </c>
      <c r="DB234">
        <f>ROUND((ROUND(AT234*CZ234,2)*1.25),6)</f>
        <v>14.074999999999999</v>
      </c>
      <c r="DC234">
        <f>ROUND((ROUND(AT234*AG234,2)*1.25),6)</f>
        <v>0</v>
      </c>
      <c r="DD234" t="s">
        <v>3</v>
      </c>
      <c r="DE234" t="s">
        <v>3</v>
      </c>
      <c r="DF234">
        <f t="shared" si="97"/>
        <v>0</v>
      </c>
      <c r="DG234">
        <f>ROUND(ROUND(AF234*AJ234,2)*CX234,2)</f>
        <v>150.44</v>
      </c>
      <c r="DH234">
        <f>ROUND(ROUND(AG234*AK234,2)*CX234,2)</f>
        <v>0</v>
      </c>
      <c r="DI234">
        <f t="shared" si="92"/>
        <v>0</v>
      </c>
      <c r="DJ234">
        <f>DG234</f>
        <v>150.44</v>
      </c>
      <c r="DK234">
        <v>0</v>
      </c>
      <c r="DL234" t="s">
        <v>3</v>
      </c>
      <c r="DM234">
        <v>0</v>
      </c>
      <c r="DN234" t="s">
        <v>3</v>
      </c>
      <c r="DO234">
        <v>0</v>
      </c>
    </row>
    <row r="235" spans="1:119" x14ac:dyDescent="0.2">
      <c r="A235">
        <f>ROW(Source!A219)</f>
        <v>219</v>
      </c>
      <c r="B235">
        <v>53860087</v>
      </c>
      <c r="C235">
        <v>53860880</v>
      </c>
      <c r="D235">
        <v>29580491</v>
      </c>
      <c r="E235">
        <v>1</v>
      </c>
      <c r="F235">
        <v>1</v>
      </c>
      <c r="G235">
        <v>29506949</v>
      </c>
      <c r="H235">
        <v>2</v>
      </c>
      <c r="I235" t="s">
        <v>650</v>
      </c>
      <c r="J235" t="s">
        <v>651</v>
      </c>
      <c r="K235" t="s">
        <v>652</v>
      </c>
      <c r="L235">
        <v>1368</v>
      </c>
      <c r="N235">
        <v>1011</v>
      </c>
      <c r="O235" t="s">
        <v>647</v>
      </c>
      <c r="P235" t="s">
        <v>647</v>
      </c>
      <c r="Q235">
        <v>1</v>
      </c>
      <c r="W235">
        <v>0</v>
      </c>
      <c r="X235">
        <v>-1440889904</v>
      </c>
      <c r="Y235">
        <f>(AT235*1.25)</f>
        <v>0.58749999999999991</v>
      </c>
      <c r="AA235">
        <v>0</v>
      </c>
      <c r="AB235">
        <v>1051.9000000000001</v>
      </c>
      <c r="AC235">
        <v>397.72</v>
      </c>
      <c r="AD235">
        <v>0</v>
      </c>
      <c r="AE235">
        <v>0</v>
      </c>
      <c r="AF235">
        <v>83.1</v>
      </c>
      <c r="AG235">
        <v>12.62</v>
      </c>
      <c r="AH235">
        <v>0</v>
      </c>
      <c r="AI235">
        <v>1</v>
      </c>
      <c r="AJ235">
        <v>12.09</v>
      </c>
      <c r="AK235">
        <v>30.1</v>
      </c>
      <c r="AL235">
        <v>1</v>
      </c>
      <c r="AM235">
        <v>2</v>
      </c>
      <c r="AN235">
        <v>0</v>
      </c>
      <c r="AO235">
        <v>1</v>
      </c>
      <c r="AP235">
        <v>1</v>
      </c>
      <c r="AQ235">
        <v>0</v>
      </c>
      <c r="AR235">
        <v>0</v>
      </c>
      <c r="AS235" t="s">
        <v>3</v>
      </c>
      <c r="AT235">
        <v>0.47</v>
      </c>
      <c r="AU235" t="s">
        <v>51</v>
      </c>
      <c r="AV235">
        <v>0</v>
      </c>
      <c r="AW235">
        <v>2</v>
      </c>
      <c r="AX235">
        <v>53861359</v>
      </c>
      <c r="AY235">
        <v>1</v>
      </c>
      <c r="AZ235">
        <v>0</v>
      </c>
      <c r="BA235">
        <v>347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CV235">
        <v>0</v>
      </c>
      <c r="CW235">
        <f>ROUND(Y235*Source!I219,9)</f>
        <v>0.70499999999999996</v>
      </c>
      <c r="CX235">
        <f>ROUND(Y235*Source!I219,9)</f>
        <v>0.70499999999999996</v>
      </c>
      <c r="CY235">
        <f>AB235</f>
        <v>1051.9000000000001</v>
      </c>
      <c r="CZ235">
        <f>AF235</f>
        <v>83.1</v>
      </c>
      <c r="DA235">
        <f>AJ235</f>
        <v>12.09</v>
      </c>
      <c r="DB235">
        <f>ROUND((ROUND(AT235*CZ235,2)*1.25),6)</f>
        <v>48.825000000000003</v>
      </c>
      <c r="DC235">
        <f>ROUND((ROUND(AT235*AG235,2)*1.25),6)</f>
        <v>7.4124999999999996</v>
      </c>
      <c r="DD235" t="s">
        <v>3</v>
      </c>
      <c r="DE235" t="s">
        <v>3</v>
      </c>
      <c r="DF235">
        <f t="shared" si="97"/>
        <v>0</v>
      </c>
      <c r="DG235">
        <f>ROUND(ROUND(AF235*AJ235,2)*CX235,2)</f>
        <v>708.3</v>
      </c>
      <c r="DH235">
        <f>ROUND(ROUND(AG235*AK235,2)*CX235,2)</f>
        <v>267.8</v>
      </c>
      <c r="DI235">
        <f t="shared" si="92"/>
        <v>0</v>
      </c>
      <c r="DJ235">
        <f>DG235</f>
        <v>708.3</v>
      </c>
      <c r="DK235">
        <v>0</v>
      </c>
      <c r="DL235" t="s">
        <v>3</v>
      </c>
      <c r="DM235">
        <v>0</v>
      </c>
      <c r="DN235" t="s">
        <v>3</v>
      </c>
      <c r="DO235">
        <v>0</v>
      </c>
    </row>
    <row r="236" spans="1:119" x14ac:dyDescent="0.2">
      <c r="A236">
        <f>ROW(Source!A219)</f>
        <v>219</v>
      </c>
      <c r="B236">
        <v>53860087</v>
      </c>
      <c r="C236">
        <v>53860880</v>
      </c>
      <c r="D236">
        <v>29580614</v>
      </c>
      <c r="E236">
        <v>1</v>
      </c>
      <c r="F236">
        <v>1</v>
      </c>
      <c r="G236">
        <v>29506949</v>
      </c>
      <c r="H236">
        <v>2</v>
      </c>
      <c r="I236" t="s">
        <v>682</v>
      </c>
      <c r="J236" t="s">
        <v>683</v>
      </c>
      <c r="K236" t="s">
        <v>684</v>
      </c>
      <c r="L236">
        <v>1368</v>
      </c>
      <c r="N236">
        <v>1011</v>
      </c>
      <c r="O236" t="s">
        <v>647</v>
      </c>
      <c r="P236" t="s">
        <v>647</v>
      </c>
      <c r="Q236">
        <v>1</v>
      </c>
      <c r="W236">
        <v>0</v>
      </c>
      <c r="X236">
        <v>-798320174</v>
      </c>
      <c r="Y236">
        <f>(AT236*1.25)</f>
        <v>4.1499999999999995</v>
      </c>
      <c r="AA236">
        <v>0</v>
      </c>
      <c r="AB236">
        <v>9.86</v>
      </c>
      <c r="AC236">
        <v>0</v>
      </c>
      <c r="AD236">
        <v>0</v>
      </c>
      <c r="AE236">
        <v>0</v>
      </c>
      <c r="AF236">
        <v>1.1100000000000001</v>
      </c>
      <c r="AG236">
        <v>0</v>
      </c>
      <c r="AH236">
        <v>0</v>
      </c>
      <c r="AI236">
        <v>1</v>
      </c>
      <c r="AJ236">
        <v>8.48</v>
      </c>
      <c r="AK236">
        <v>30.1</v>
      </c>
      <c r="AL236">
        <v>1</v>
      </c>
      <c r="AM236">
        <v>2</v>
      </c>
      <c r="AN236">
        <v>0</v>
      </c>
      <c r="AO236">
        <v>1</v>
      </c>
      <c r="AP236">
        <v>1</v>
      </c>
      <c r="AQ236">
        <v>0</v>
      </c>
      <c r="AR236">
        <v>0</v>
      </c>
      <c r="AS236" t="s">
        <v>3</v>
      </c>
      <c r="AT236">
        <v>3.32</v>
      </c>
      <c r="AU236" t="s">
        <v>51</v>
      </c>
      <c r="AV236">
        <v>0</v>
      </c>
      <c r="AW236">
        <v>2</v>
      </c>
      <c r="AX236">
        <v>53861360</v>
      </c>
      <c r="AY236">
        <v>1</v>
      </c>
      <c r="AZ236">
        <v>0</v>
      </c>
      <c r="BA236">
        <v>348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CV236">
        <v>0</v>
      </c>
      <c r="CW236">
        <f>ROUND(Y236*Source!I219,9)</f>
        <v>4.9800000000000004</v>
      </c>
      <c r="CX236">
        <f>ROUND(Y236*Source!I219,9)</f>
        <v>4.9800000000000004</v>
      </c>
      <c r="CY236">
        <f>AB236</f>
        <v>9.86</v>
      </c>
      <c r="CZ236">
        <f>AF236</f>
        <v>1.1100000000000001</v>
      </c>
      <c r="DA236">
        <f>AJ236</f>
        <v>8.48</v>
      </c>
      <c r="DB236">
        <f>ROUND((ROUND(AT236*CZ236,2)*1.25),6)</f>
        <v>4.6124999999999998</v>
      </c>
      <c r="DC236">
        <f>ROUND((ROUND(AT236*AG236,2)*1.25),6)</f>
        <v>0</v>
      </c>
      <c r="DD236" t="s">
        <v>3</v>
      </c>
      <c r="DE236" t="s">
        <v>3</v>
      </c>
      <c r="DF236">
        <f t="shared" si="97"/>
        <v>0</v>
      </c>
      <c r="DG236">
        <f>ROUND(ROUND(AF236*AJ236,2)*CX236,2)</f>
        <v>46.86</v>
      </c>
      <c r="DH236">
        <f>ROUND(ROUND(AG236*AK236,2)*CX236,2)</f>
        <v>0</v>
      </c>
      <c r="DI236">
        <f t="shared" si="92"/>
        <v>0</v>
      </c>
      <c r="DJ236">
        <f>DG236</f>
        <v>46.86</v>
      </c>
      <c r="DK236">
        <v>0</v>
      </c>
      <c r="DL236" t="s">
        <v>3</v>
      </c>
      <c r="DM236">
        <v>0</v>
      </c>
      <c r="DN236" t="s">
        <v>3</v>
      </c>
      <c r="DO236">
        <v>0</v>
      </c>
    </row>
    <row r="237" spans="1:119" x14ac:dyDescent="0.2">
      <c r="A237">
        <f>ROW(Source!A219)</f>
        <v>219</v>
      </c>
      <c r="B237">
        <v>53860087</v>
      </c>
      <c r="C237">
        <v>53860880</v>
      </c>
      <c r="D237">
        <v>29579828</v>
      </c>
      <c r="E237">
        <v>1</v>
      </c>
      <c r="F237">
        <v>1</v>
      </c>
      <c r="G237">
        <v>29506949</v>
      </c>
      <c r="H237">
        <v>2</v>
      </c>
      <c r="I237" t="s">
        <v>781</v>
      </c>
      <c r="J237" t="s">
        <v>782</v>
      </c>
      <c r="K237" t="s">
        <v>783</v>
      </c>
      <c r="L237">
        <v>1368</v>
      </c>
      <c r="N237">
        <v>1011</v>
      </c>
      <c r="O237" t="s">
        <v>647</v>
      </c>
      <c r="P237" t="s">
        <v>647</v>
      </c>
      <c r="Q237">
        <v>1</v>
      </c>
      <c r="W237">
        <v>0</v>
      </c>
      <c r="X237">
        <v>159861479</v>
      </c>
      <c r="Y237">
        <f>(AT237*1.25)</f>
        <v>2.5000000000000001E-2</v>
      </c>
      <c r="AA237">
        <v>0</v>
      </c>
      <c r="AB237">
        <v>847.06</v>
      </c>
      <c r="AC237">
        <v>397.72</v>
      </c>
      <c r="AD237">
        <v>0</v>
      </c>
      <c r="AE237">
        <v>0</v>
      </c>
      <c r="AF237">
        <v>53.9</v>
      </c>
      <c r="AG237">
        <v>12.62</v>
      </c>
      <c r="AH237">
        <v>0</v>
      </c>
      <c r="AI237">
        <v>1</v>
      </c>
      <c r="AJ237">
        <v>15.01</v>
      </c>
      <c r="AK237">
        <v>30.1</v>
      </c>
      <c r="AL237">
        <v>1</v>
      </c>
      <c r="AM237">
        <v>2</v>
      </c>
      <c r="AN237">
        <v>0</v>
      </c>
      <c r="AO237">
        <v>1</v>
      </c>
      <c r="AP237">
        <v>1</v>
      </c>
      <c r="AQ237">
        <v>0</v>
      </c>
      <c r="AR237">
        <v>0</v>
      </c>
      <c r="AS237" t="s">
        <v>3</v>
      </c>
      <c r="AT237">
        <v>0.02</v>
      </c>
      <c r="AU237" t="s">
        <v>51</v>
      </c>
      <c r="AV237">
        <v>0</v>
      </c>
      <c r="AW237">
        <v>2</v>
      </c>
      <c r="AX237">
        <v>53861361</v>
      </c>
      <c r="AY237">
        <v>1</v>
      </c>
      <c r="AZ237">
        <v>0</v>
      </c>
      <c r="BA237">
        <v>349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CV237">
        <v>0</v>
      </c>
      <c r="CW237">
        <f>ROUND(Y237*Source!I219,9)</f>
        <v>0.03</v>
      </c>
      <c r="CX237">
        <f>ROUND(Y237*Source!I219,9)</f>
        <v>0.03</v>
      </c>
      <c r="CY237">
        <f>AB237</f>
        <v>847.06</v>
      </c>
      <c r="CZ237">
        <f>AF237</f>
        <v>53.9</v>
      </c>
      <c r="DA237">
        <f>AJ237</f>
        <v>15.01</v>
      </c>
      <c r="DB237">
        <f>ROUND((ROUND(AT237*CZ237,2)*1.25),6)</f>
        <v>1.35</v>
      </c>
      <c r="DC237">
        <f>ROUND((ROUND(AT237*AG237,2)*1.25),6)</f>
        <v>0.3125</v>
      </c>
      <c r="DD237" t="s">
        <v>3</v>
      </c>
      <c r="DE237" t="s">
        <v>3</v>
      </c>
      <c r="DF237">
        <f t="shared" si="97"/>
        <v>0</v>
      </c>
      <c r="DG237">
        <f>ROUND(ROUND(AF237*AJ237,2)*CX237,2)</f>
        <v>24.27</v>
      </c>
      <c r="DH237">
        <f>ROUND(ROUND(AG237*AK237,2)*CX237,2)</f>
        <v>11.4</v>
      </c>
      <c r="DI237">
        <f t="shared" si="92"/>
        <v>0</v>
      </c>
      <c r="DJ237">
        <f>DG237</f>
        <v>24.27</v>
      </c>
      <c r="DK237">
        <v>0</v>
      </c>
      <c r="DL237" t="s">
        <v>3</v>
      </c>
      <c r="DM237">
        <v>0</v>
      </c>
      <c r="DN237" t="s">
        <v>3</v>
      </c>
      <c r="DO237">
        <v>0</v>
      </c>
    </row>
    <row r="238" spans="1:119" x14ac:dyDescent="0.2">
      <c r="A238">
        <f>ROW(Source!A219)</f>
        <v>219</v>
      </c>
      <c r="B238">
        <v>53860087</v>
      </c>
      <c r="C238">
        <v>53860880</v>
      </c>
      <c r="D238">
        <v>29507683</v>
      </c>
      <c r="E238">
        <v>29506949</v>
      </c>
      <c r="F238">
        <v>1</v>
      </c>
      <c r="G238">
        <v>29506949</v>
      </c>
      <c r="H238">
        <v>2</v>
      </c>
      <c r="I238" t="s">
        <v>641</v>
      </c>
      <c r="J238" t="s">
        <v>3</v>
      </c>
      <c r="K238" t="s">
        <v>642</v>
      </c>
      <c r="L238">
        <v>1344</v>
      </c>
      <c r="N238">
        <v>1008</v>
      </c>
      <c r="O238" t="s">
        <v>643</v>
      </c>
      <c r="P238" t="s">
        <v>643</v>
      </c>
      <c r="Q238">
        <v>1</v>
      </c>
      <c r="W238">
        <v>0</v>
      </c>
      <c r="X238">
        <v>-1180195794</v>
      </c>
      <c r="Y238">
        <f>(AT238*1.25)</f>
        <v>6.25E-2</v>
      </c>
      <c r="AA238">
        <v>0</v>
      </c>
      <c r="AB238">
        <v>1.05</v>
      </c>
      <c r="AC238">
        <v>0</v>
      </c>
      <c r="AD238">
        <v>0</v>
      </c>
      <c r="AE238">
        <v>0</v>
      </c>
      <c r="AF238">
        <v>1</v>
      </c>
      <c r="AG238">
        <v>0</v>
      </c>
      <c r="AH238">
        <v>0</v>
      </c>
      <c r="AI238">
        <v>1</v>
      </c>
      <c r="AJ238">
        <v>1</v>
      </c>
      <c r="AK238">
        <v>1</v>
      </c>
      <c r="AL238">
        <v>1</v>
      </c>
      <c r="AM238">
        <v>-2</v>
      </c>
      <c r="AN238">
        <v>0</v>
      </c>
      <c r="AO238">
        <v>1</v>
      </c>
      <c r="AP238">
        <v>1</v>
      </c>
      <c r="AQ238">
        <v>0</v>
      </c>
      <c r="AR238">
        <v>0</v>
      </c>
      <c r="AS238" t="s">
        <v>3</v>
      </c>
      <c r="AT238">
        <v>0.05</v>
      </c>
      <c r="AU238" t="s">
        <v>51</v>
      </c>
      <c r="AV238">
        <v>0</v>
      </c>
      <c r="AW238">
        <v>1</v>
      </c>
      <c r="AX238">
        <v>-1</v>
      </c>
      <c r="AY238">
        <v>0</v>
      </c>
      <c r="AZ238">
        <v>0</v>
      </c>
      <c r="BA238" t="s">
        <v>3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CV238">
        <v>0</v>
      </c>
      <c r="CW238">
        <f>ROUND(Y238*Source!I219,9)</f>
        <v>7.4999999999999997E-2</v>
      </c>
      <c r="CX238">
        <f>ROUND(Y238*Source!I219,9)</f>
        <v>7.4999999999999997E-2</v>
      </c>
      <c r="CY238">
        <f>AB238</f>
        <v>1.05</v>
      </c>
      <c r="CZ238">
        <f>AF238</f>
        <v>1</v>
      </c>
      <c r="DA238">
        <f>AJ238</f>
        <v>1</v>
      </c>
      <c r="DB238">
        <f>ROUND((ROUND(AT238*CZ238,2)*1.25),6)</f>
        <v>6.25E-2</v>
      </c>
      <c r="DC238">
        <f>ROUND((ROUND(AT238*AG238,2)*1.25),6)</f>
        <v>0</v>
      </c>
      <c r="DD238" t="s">
        <v>3</v>
      </c>
      <c r="DE238" t="s">
        <v>3</v>
      </c>
      <c r="DF238">
        <f t="shared" si="97"/>
        <v>0</v>
      </c>
      <c r="DG238">
        <f t="shared" ref="DG238:DG243" si="98">ROUND(ROUND(AF238,2)*CX238,2)</f>
        <v>0.08</v>
      </c>
      <c r="DH238">
        <f t="shared" ref="DH238:DH243" si="99">ROUND(ROUND(AG238,2)*CX238,2)</f>
        <v>0</v>
      </c>
      <c r="DI238">
        <f t="shared" si="92"/>
        <v>0</v>
      </c>
      <c r="DJ238">
        <f>DG238</f>
        <v>0.08</v>
      </c>
      <c r="DK238">
        <v>0</v>
      </c>
      <c r="DL238" t="s">
        <v>3</v>
      </c>
      <c r="DM238">
        <v>0</v>
      </c>
      <c r="DN238" t="s">
        <v>3</v>
      </c>
      <c r="DO238">
        <v>0</v>
      </c>
    </row>
    <row r="239" spans="1:119" x14ac:dyDescent="0.2">
      <c r="A239">
        <f>ROW(Source!A219)</f>
        <v>219</v>
      </c>
      <c r="B239">
        <v>53860087</v>
      </c>
      <c r="C239">
        <v>53860880</v>
      </c>
      <c r="D239">
        <v>29555598</v>
      </c>
      <c r="E239">
        <v>1</v>
      </c>
      <c r="F239">
        <v>1</v>
      </c>
      <c r="G239">
        <v>29506949</v>
      </c>
      <c r="H239">
        <v>3</v>
      </c>
      <c r="I239" t="s">
        <v>68</v>
      </c>
      <c r="J239" t="s">
        <v>71</v>
      </c>
      <c r="K239" t="s">
        <v>69</v>
      </c>
      <c r="L239">
        <v>1339</v>
      </c>
      <c r="N239">
        <v>1007</v>
      </c>
      <c r="O239" t="s">
        <v>70</v>
      </c>
      <c r="P239" t="s">
        <v>70</v>
      </c>
      <c r="Q239">
        <v>1</v>
      </c>
      <c r="W239">
        <v>0</v>
      </c>
      <c r="X239">
        <v>-862991314</v>
      </c>
      <c r="Y239">
        <f>AT239</f>
        <v>0.30199999999999999</v>
      </c>
      <c r="AA239">
        <v>42.42</v>
      </c>
      <c r="AB239">
        <v>0</v>
      </c>
      <c r="AC239">
        <v>0</v>
      </c>
      <c r="AD239">
        <v>0</v>
      </c>
      <c r="AE239">
        <v>7.07</v>
      </c>
      <c r="AF239">
        <v>0</v>
      </c>
      <c r="AG239">
        <v>0</v>
      </c>
      <c r="AH239">
        <v>0</v>
      </c>
      <c r="AI239">
        <v>6</v>
      </c>
      <c r="AJ239">
        <v>1</v>
      </c>
      <c r="AK239">
        <v>1</v>
      </c>
      <c r="AL239">
        <v>1</v>
      </c>
      <c r="AM239">
        <v>2</v>
      </c>
      <c r="AN239">
        <v>0</v>
      </c>
      <c r="AO239">
        <v>1</v>
      </c>
      <c r="AP239">
        <v>1</v>
      </c>
      <c r="AQ239">
        <v>0</v>
      </c>
      <c r="AR239">
        <v>0</v>
      </c>
      <c r="AS239" t="s">
        <v>3</v>
      </c>
      <c r="AT239">
        <v>0.30199999999999999</v>
      </c>
      <c r="AU239" t="s">
        <v>3</v>
      </c>
      <c r="AV239">
        <v>0</v>
      </c>
      <c r="AW239">
        <v>2</v>
      </c>
      <c r="AX239">
        <v>53861362</v>
      </c>
      <c r="AY239">
        <v>1</v>
      </c>
      <c r="AZ239">
        <v>0</v>
      </c>
      <c r="BA239">
        <v>350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CV239">
        <v>0</v>
      </c>
      <c r="CW239">
        <v>0</v>
      </c>
      <c r="CX239">
        <f>ROUND(Y239*Source!I219,9)</f>
        <v>0.3624</v>
      </c>
      <c r="CY239">
        <f>AA239</f>
        <v>42.42</v>
      </c>
      <c r="CZ239">
        <f>AE239</f>
        <v>7.07</v>
      </c>
      <c r="DA239">
        <f>AI239</f>
        <v>6</v>
      </c>
      <c r="DB239">
        <f>ROUND(ROUND(AT239*CZ239,2),6)</f>
        <v>2.14</v>
      </c>
      <c r="DC239">
        <f>ROUND(ROUND(AT239*AG239,2),6)</f>
        <v>0</v>
      </c>
      <c r="DD239" t="s">
        <v>3</v>
      </c>
      <c r="DE239" t="s">
        <v>3</v>
      </c>
      <c r="DF239">
        <f>ROUND(ROUND(AE239*AI239,2)*CX239,2)</f>
        <v>15.37</v>
      </c>
      <c r="DG239">
        <f t="shared" si="98"/>
        <v>0</v>
      </c>
      <c r="DH239">
        <f t="shared" si="99"/>
        <v>0</v>
      </c>
      <c r="DI239">
        <f t="shared" si="92"/>
        <v>0</v>
      </c>
      <c r="DJ239">
        <f>DF239</f>
        <v>15.37</v>
      </c>
      <c r="DK239">
        <v>0</v>
      </c>
      <c r="DL239" t="s">
        <v>3</v>
      </c>
      <c r="DM239">
        <v>0</v>
      </c>
      <c r="DN239" t="s">
        <v>3</v>
      </c>
      <c r="DO239">
        <v>0</v>
      </c>
    </row>
    <row r="240" spans="1:119" x14ac:dyDescent="0.2">
      <c r="A240">
        <f>ROW(Source!A219)</f>
        <v>219</v>
      </c>
      <c r="B240">
        <v>53860087</v>
      </c>
      <c r="C240">
        <v>53860880</v>
      </c>
      <c r="D240">
        <v>29557722</v>
      </c>
      <c r="E240">
        <v>1</v>
      </c>
      <c r="F240">
        <v>1</v>
      </c>
      <c r="G240">
        <v>29506949</v>
      </c>
      <c r="H240">
        <v>3</v>
      </c>
      <c r="I240" t="s">
        <v>784</v>
      </c>
      <c r="J240" t="s">
        <v>785</v>
      </c>
      <c r="K240" t="s">
        <v>786</v>
      </c>
      <c r="L240">
        <v>1327</v>
      </c>
      <c r="N240">
        <v>1005</v>
      </c>
      <c r="O240" t="s">
        <v>100</v>
      </c>
      <c r="P240" t="s">
        <v>100</v>
      </c>
      <c r="Q240">
        <v>1</v>
      </c>
      <c r="W240">
        <v>0</v>
      </c>
      <c r="X240">
        <v>-934687686</v>
      </c>
      <c r="Y240">
        <f>AT240</f>
        <v>10</v>
      </c>
      <c r="AA240">
        <v>7.16</v>
      </c>
      <c r="AB240">
        <v>0</v>
      </c>
      <c r="AC240">
        <v>0</v>
      </c>
      <c r="AD240">
        <v>0</v>
      </c>
      <c r="AE240">
        <v>2.31</v>
      </c>
      <c r="AF240">
        <v>0</v>
      </c>
      <c r="AG240">
        <v>0</v>
      </c>
      <c r="AH240">
        <v>0</v>
      </c>
      <c r="AI240">
        <v>3.1</v>
      </c>
      <c r="AJ240">
        <v>1</v>
      </c>
      <c r="AK240">
        <v>1</v>
      </c>
      <c r="AL240">
        <v>1</v>
      </c>
      <c r="AM240">
        <v>2</v>
      </c>
      <c r="AN240">
        <v>0</v>
      </c>
      <c r="AO240">
        <v>1</v>
      </c>
      <c r="AP240">
        <v>1</v>
      </c>
      <c r="AQ240">
        <v>0</v>
      </c>
      <c r="AR240">
        <v>0</v>
      </c>
      <c r="AS240" t="s">
        <v>3</v>
      </c>
      <c r="AT240">
        <v>10</v>
      </c>
      <c r="AU240" t="s">
        <v>3</v>
      </c>
      <c r="AV240">
        <v>0</v>
      </c>
      <c r="AW240">
        <v>2</v>
      </c>
      <c r="AX240">
        <v>53861363</v>
      </c>
      <c r="AY240">
        <v>1</v>
      </c>
      <c r="AZ240">
        <v>0</v>
      </c>
      <c r="BA240">
        <v>351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CV240">
        <v>0</v>
      </c>
      <c r="CW240">
        <v>0</v>
      </c>
      <c r="CX240">
        <f>ROUND(Y240*Source!I219,9)</f>
        <v>12</v>
      </c>
      <c r="CY240">
        <f>AA240</f>
        <v>7.16</v>
      </c>
      <c r="CZ240">
        <f>AE240</f>
        <v>2.31</v>
      </c>
      <c r="DA240">
        <f>AI240</f>
        <v>3.1</v>
      </c>
      <c r="DB240">
        <f>ROUND(ROUND(AT240*CZ240,2),6)</f>
        <v>23.1</v>
      </c>
      <c r="DC240">
        <f>ROUND(ROUND(AT240*AG240,2),6)</f>
        <v>0</v>
      </c>
      <c r="DD240" t="s">
        <v>3</v>
      </c>
      <c r="DE240" t="s">
        <v>3</v>
      </c>
      <c r="DF240">
        <f>ROUND(ROUND(AE240*AI240,2)*CX240,2)</f>
        <v>85.92</v>
      </c>
      <c r="DG240">
        <f t="shared" si="98"/>
        <v>0</v>
      </c>
      <c r="DH240">
        <f t="shared" si="99"/>
        <v>0</v>
      </c>
      <c r="DI240">
        <f t="shared" si="92"/>
        <v>0</v>
      </c>
      <c r="DJ240">
        <f>DF240</f>
        <v>85.92</v>
      </c>
      <c r="DK240">
        <v>0</v>
      </c>
      <c r="DL240" t="s">
        <v>3</v>
      </c>
      <c r="DM240">
        <v>0</v>
      </c>
      <c r="DN240" t="s">
        <v>3</v>
      </c>
      <c r="DO240">
        <v>0</v>
      </c>
    </row>
    <row r="241" spans="1:119" x14ac:dyDescent="0.2">
      <c r="A241">
        <f>ROW(Source!A219)</f>
        <v>219</v>
      </c>
      <c r="B241">
        <v>53860087</v>
      </c>
      <c r="C241">
        <v>53860880</v>
      </c>
      <c r="D241">
        <v>29558207</v>
      </c>
      <c r="E241">
        <v>1</v>
      </c>
      <c r="F241">
        <v>1</v>
      </c>
      <c r="G241">
        <v>29506949</v>
      </c>
      <c r="H241">
        <v>3</v>
      </c>
      <c r="I241" t="s">
        <v>475</v>
      </c>
      <c r="J241" t="s">
        <v>477</v>
      </c>
      <c r="K241" t="s">
        <v>476</v>
      </c>
      <c r="L241">
        <v>1346</v>
      </c>
      <c r="N241">
        <v>1009</v>
      </c>
      <c r="O241" t="s">
        <v>58</v>
      </c>
      <c r="P241" t="s">
        <v>58</v>
      </c>
      <c r="Q241">
        <v>1</v>
      </c>
      <c r="W241">
        <v>0</v>
      </c>
      <c r="X241">
        <v>-686858074</v>
      </c>
      <c r="Y241">
        <f>AT241</f>
        <v>20</v>
      </c>
      <c r="AA241">
        <v>70.64</v>
      </c>
      <c r="AB241">
        <v>0</v>
      </c>
      <c r="AC241">
        <v>0</v>
      </c>
      <c r="AD241">
        <v>0</v>
      </c>
      <c r="AE241">
        <v>17.66</v>
      </c>
      <c r="AF241">
        <v>0</v>
      </c>
      <c r="AG241">
        <v>0</v>
      </c>
      <c r="AH241">
        <v>0</v>
      </c>
      <c r="AI241">
        <v>4</v>
      </c>
      <c r="AJ241">
        <v>1</v>
      </c>
      <c r="AK241">
        <v>1</v>
      </c>
      <c r="AL241">
        <v>1</v>
      </c>
      <c r="AM241">
        <v>0</v>
      </c>
      <c r="AN241">
        <v>0</v>
      </c>
      <c r="AO241">
        <v>0</v>
      </c>
      <c r="AP241">
        <v>1</v>
      </c>
      <c r="AQ241">
        <v>0</v>
      </c>
      <c r="AR241">
        <v>0</v>
      </c>
      <c r="AS241" t="s">
        <v>3</v>
      </c>
      <c r="AT241">
        <v>20</v>
      </c>
      <c r="AU241" t="s">
        <v>3</v>
      </c>
      <c r="AV241">
        <v>0</v>
      </c>
      <c r="AW241">
        <v>1</v>
      </c>
      <c r="AX241">
        <v>-1</v>
      </c>
      <c r="AY241">
        <v>0</v>
      </c>
      <c r="AZ241">
        <v>0</v>
      </c>
      <c r="BA241" t="s">
        <v>3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CV241">
        <v>0</v>
      </c>
      <c r="CW241">
        <v>0</v>
      </c>
      <c r="CX241">
        <f>ROUND(Y241*Source!I219,9)</f>
        <v>24</v>
      </c>
      <c r="CY241">
        <f>AA241</f>
        <v>70.64</v>
      </c>
      <c r="CZ241">
        <f>AE241</f>
        <v>17.66</v>
      </c>
      <c r="DA241">
        <f>AI241</f>
        <v>4</v>
      </c>
      <c r="DB241">
        <f>ROUND(ROUND(AT241*CZ241,2),6)</f>
        <v>353.2</v>
      </c>
      <c r="DC241">
        <f>ROUND(ROUND(AT241*AG241,2),6)</f>
        <v>0</v>
      </c>
      <c r="DD241" t="s">
        <v>3</v>
      </c>
      <c r="DE241" t="s">
        <v>3</v>
      </c>
      <c r="DF241">
        <f>ROUND(ROUND(AE241*AI241,2)*CX241,2)</f>
        <v>1695.36</v>
      </c>
      <c r="DG241">
        <f t="shared" si="98"/>
        <v>0</v>
      </c>
      <c r="DH241">
        <f t="shared" si="99"/>
        <v>0</v>
      </c>
      <c r="DI241">
        <f t="shared" si="92"/>
        <v>0</v>
      </c>
      <c r="DJ241">
        <f>DF241</f>
        <v>1695.36</v>
      </c>
      <c r="DK241">
        <v>0</v>
      </c>
      <c r="DL241" t="s">
        <v>3</v>
      </c>
      <c r="DM241">
        <v>0</v>
      </c>
      <c r="DN241" t="s">
        <v>3</v>
      </c>
      <c r="DO241">
        <v>0</v>
      </c>
    </row>
    <row r="242" spans="1:119" x14ac:dyDescent="0.2">
      <c r="A242">
        <f>ROW(Source!A219)</f>
        <v>219</v>
      </c>
      <c r="B242">
        <v>53860087</v>
      </c>
      <c r="C242">
        <v>53860880</v>
      </c>
      <c r="D242">
        <v>29574139</v>
      </c>
      <c r="E242">
        <v>1</v>
      </c>
      <c r="F242">
        <v>1</v>
      </c>
      <c r="G242">
        <v>29506949</v>
      </c>
      <c r="H242">
        <v>3</v>
      </c>
      <c r="I242" t="s">
        <v>479</v>
      </c>
      <c r="J242" t="s">
        <v>480</v>
      </c>
      <c r="K242" t="s">
        <v>981</v>
      </c>
      <c r="L242">
        <v>1348</v>
      </c>
      <c r="N242">
        <v>1009</v>
      </c>
      <c r="O242" t="s">
        <v>75</v>
      </c>
      <c r="P242" t="s">
        <v>75</v>
      </c>
      <c r="Q242">
        <v>1000</v>
      </c>
      <c r="W242">
        <v>0</v>
      </c>
      <c r="X242">
        <v>1741567999</v>
      </c>
      <c r="Y242">
        <f>AT242</f>
        <v>0.84199999999999997</v>
      </c>
      <c r="AA242">
        <v>26054.22</v>
      </c>
      <c r="AB242">
        <v>0</v>
      </c>
      <c r="AC242">
        <v>0</v>
      </c>
      <c r="AD242">
        <v>0</v>
      </c>
      <c r="AE242">
        <v>5039.5</v>
      </c>
      <c r="AF242">
        <v>0</v>
      </c>
      <c r="AG242">
        <v>0</v>
      </c>
      <c r="AH242">
        <v>0</v>
      </c>
      <c r="AI242">
        <v>5.17</v>
      </c>
      <c r="AJ242">
        <v>1</v>
      </c>
      <c r="AK242">
        <v>1</v>
      </c>
      <c r="AL242">
        <v>1</v>
      </c>
      <c r="AM242">
        <v>0</v>
      </c>
      <c r="AN242">
        <v>0</v>
      </c>
      <c r="AO242">
        <v>0</v>
      </c>
      <c r="AP242">
        <v>1</v>
      </c>
      <c r="AQ242">
        <v>0</v>
      </c>
      <c r="AR242">
        <v>0</v>
      </c>
      <c r="AS242" t="s">
        <v>3</v>
      </c>
      <c r="AT242">
        <v>0.84199999999999997</v>
      </c>
      <c r="AU242" t="s">
        <v>3</v>
      </c>
      <c r="AV242">
        <v>0</v>
      </c>
      <c r="AW242">
        <v>1</v>
      </c>
      <c r="AX242">
        <v>-1</v>
      </c>
      <c r="AY242">
        <v>0</v>
      </c>
      <c r="AZ242">
        <v>0</v>
      </c>
      <c r="BA242" t="s">
        <v>3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CV242">
        <v>0</v>
      </c>
      <c r="CW242">
        <v>0</v>
      </c>
      <c r="CX242">
        <f>ROUND(Y242*Source!I219,9)</f>
        <v>1.0104</v>
      </c>
      <c r="CY242">
        <f>AA242</f>
        <v>26054.22</v>
      </c>
      <c r="CZ242">
        <f>AE242</f>
        <v>5039.5</v>
      </c>
      <c r="DA242">
        <f>AI242</f>
        <v>5.17</v>
      </c>
      <c r="DB242">
        <f>ROUND(ROUND(AT242*CZ242,2),6)</f>
        <v>4243.26</v>
      </c>
      <c r="DC242">
        <f>ROUND(ROUND(AT242*AG242,2),6)</f>
        <v>0</v>
      </c>
      <c r="DD242" t="s">
        <v>3</v>
      </c>
      <c r="DE242" t="s">
        <v>3</v>
      </c>
      <c r="DF242">
        <f>ROUND(ROUND(AE242*AI242,2)*CX242,2)</f>
        <v>26325.18</v>
      </c>
      <c r="DG242">
        <f t="shared" si="98"/>
        <v>0</v>
      </c>
      <c r="DH242">
        <f t="shared" si="99"/>
        <v>0</v>
      </c>
      <c r="DI242">
        <f t="shared" si="92"/>
        <v>0</v>
      </c>
      <c r="DJ242">
        <f>DF242</f>
        <v>26325.18</v>
      </c>
      <c r="DK242">
        <v>0</v>
      </c>
      <c r="DL242" t="s">
        <v>3</v>
      </c>
      <c r="DM242">
        <v>0</v>
      </c>
      <c r="DN242" t="s">
        <v>3</v>
      </c>
      <c r="DO242">
        <v>0</v>
      </c>
    </row>
    <row r="243" spans="1:119" x14ac:dyDescent="0.2">
      <c r="A243">
        <f>ROW(Source!A222)</f>
        <v>222</v>
      </c>
      <c r="B243">
        <v>53860087</v>
      </c>
      <c r="C243">
        <v>53860903</v>
      </c>
      <c r="D243">
        <v>29506954</v>
      </c>
      <c r="E243">
        <v>29506949</v>
      </c>
      <c r="F243">
        <v>1</v>
      </c>
      <c r="G243">
        <v>29506949</v>
      </c>
      <c r="H243">
        <v>1</v>
      </c>
      <c r="I243" t="s">
        <v>638</v>
      </c>
      <c r="J243" t="s">
        <v>3</v>
      </c>
      <c r="K243" t="s">
        <v>639</v>
      </c>
      <c r="L243">
        <v>1191</v>
      </c>
      <c r="N243">
        <v>1013</v>
      </c>
      <c r="O243" t="s">
        <v>640</v>
      </c>
      <c r="P243" t="s">
        <v>640</v>
      </c>
      <c r="Q243">
        <v>1</v>
      </c>
      <c r="W243">
        <v>0</v>
      </c>
      <c r="X243">
        <v>476480486</v>
      </c>
      <c r="Y243">
        <f>(AT243*1.15)</f>
        <v>60.041499999999999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1</v>
      </c>
      <c r="AJ243">
        <v>1</v>
      </c>
      <c r="AK243">
        <v>1</v>
      </c>
      <c r="AL243">
        <v>1</v>
      </c>
      <c r="AM243">
        <v>-2</v>
      </c>
      <c r="AN243">
        <v>0</v>
      </c>
      <c r="AO243">
        <v>1</v>
      </c>
      <c r="AP243">
        <v>1</v>
      </c>
      <c r="AQ243">
        <v>0</v>
      </c>
      <c r="AR243">
        <v>0</v>
      </c>
      <c r="AS243" t="s">
        <v>3</v>
      </c>
      <c r="AT243">
        <v>52.21</v>
      </c>
      <c r="AU243" t="s">
        <v>52</v>
      </c>
      <c r="AV243">
        <v>1</v>
      </c>
      <c r="AW243">
        <v>2</v>
      </c>
      <c r="AX243">
        <v>53861366</v>
      </c>
      <c r="AY243">
        <v>1</v>
      </c>
      <c r="AZ243">
        <v>0</v>
      </c>
      <c r="BA243">
        <v>354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CU243">
        <f>ROUND(AT243*Source!I222*AH243*AL243,2)</f>
        <v>0</v>
      </c>
      <c r="CV243">
        <f>ROUND(Y243*Source!I222,9)</f>
        <v>72.049800000000005</v>
      </c>
      <c r="CW243">
        <v>0</v>
      </c>
      <c r="CX243">
        <f>ROUND(Y243*Source!I222,9)</f>
        <v>72.049800000000005</v>
      </c>
      <c r="CY243">
        <f>AD243</f>
        <v>0</v>
      </c>
      <c r="CZ243">
        <f>AH243</f>
        <v>0</v>
      </c>
      <c r="DA243">
        <f>AL243</f>
        <v>1</v>
      </c>
      <c r="DB243">
        <f>ROUND((ROUND(AT243*CZ243,2)*1.15),6)</f>
        <v>0</v>
      </c>
      <c r="DC243">
        <f>ROUND((ROUND(AT243*AG243,2)*1.15),6)</f>
        <v>0</v>
      </c>
      <c r="DD243" t="s">
        <v>3</v>
      </c>
      <c r="DE243" t="s">
        <v>3</v>
      </c>
      <c r="DF243">
        <f t="shared" ref="DF243:DF248" si="100">ROUND(ROUND(AE243,2)*CX243,2)</f>
        <v>0</v>
      </c>
      <c r="DG243">
        <f t="shared" si="98"/>
        <v>0</v>
      </c>
      <c r="DH243">
        <f t="shared" si="99"/>
        <v>0</v>
      </c>
      <c r="DI243">
        <f t="shared" si="92"/>
        <v>0</v>
      </c>
      <c r="DJ243">
        <f>DI243</f>
        <v>0</v>
      </c>
      <c r="DK243">
        <v>0</v>
      </c>
      <c r="DL243" t="s">
        <v>3</v>
      </c>
      <c r="DM243">
        <v>0</v>
      </c>
      <c r="DN243" t="s">
        <v>3</v>
      </c>
      <c r="DO243">
        <v>0</v>
      </c>
    </row>
    <row r="244" spans="1:119" x14ac:dyDescent="0.2">
      <c r="A244">
        <f>ROW(Source!A222)</f>
        <v>222</v>
      </c>
      <c r="B244">
        <v>53860087</v>
      </c>
      <c r="C244">
        <v>53860903</v>
      </c>
      <c r="D244">
        <v>29580239</v>
      </c>
      <c r="E244">
        <v>1</v>
      </c>
      <c r="F244">
        <v>1</v>
      </c>
      <c r="G244">
        <v>29506949</v>
      </c>
      <c r="H244">
        <v>2</v>
      </c>
      <c r="I244" t="s">
        <v>778</v>
      </c>
      <c r="J244" t="s">
        <v>779</v>
      </c>
      <c r="K244" t="s">
        <v>780</v>
      </c>
      <c r="L244">
        <v>1368</v>
      </c>
      <c r="N244">
        <v>1011</v>
      </c>
      <c r="O244" t="s">
        <v>647</v>
      </c>
      <c r="P244" t="s">
        <v>647</v>
      </c>
      <c r="Q244">
        <v>1</v>
      </c>
      <c r="W244">
        <v>0</v>
      </c>
      <c r="X244">
        <v>207661963</v>
      </c>
      <c r="Y244">
        <f>(AT244*1.25)</f>
        <v>6.6374999999999993</v>
      </c>
      <c r="AA244">
        <v>0</v>
      </c>
      <c r="AB244">
        <v>43.75</v>
      </c>
      <c r="AC244">
        <v>0</v>
      </c>
      <c r="AD244">
        <v>0</v>
      </c>
      <c r="AE244">
        <v>0</v>
      </c>
      <c r="AF244">
        <v>4.6900000000000004</v>
      </c>
      <c r="AG244">
        <v>0</v>
      </c>
      <c r="AH244">
        <v>0</v>
      </c>
      <c r="AI244">
        <v>1</v>
      </c>
      <c r="AJ244">
        <v>8.91</v>
      </c>
      <c r="AK244">
        <v>30.1</v>
      </c>
      <c r="AL244">
        <v>1</v>
      </c>
      <c r="AM244">
        <v>2</v>
      </c>
      <c r="AN244">
        <v>0</v>
      </c>
      <c r="AO244">
        <v>1</v>
      </c>
      <c r="AP244">
        <v>1</v>
      </c>
      <c r="AQ244">
        <v>0</v>
      </c>
      <c r="AR244">
        <v>0</v>
      </c>
      <c r="AS244" t="s">
        <v>3</v>
      </c>
      <c r="AT244">
        <v>5.31</v>
      </c>
      <c r="AU244" t="s">
        <v>51</v>
      </c>
      <c r="AV244">
        <v>0</v>
      </c>
      <c r="AW244">
        <v>2</v>
      </c>
      <c r="AX244">
        <v>53861367</v>
      </c>
      <c r="AY244">
        <v>1</v>
      </c>
      <c r="AZ244">
        <v>0</v>
      </c>
      <c r="BA244">
        <v>355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CV244">
        <v>0</v>
      </c>
      <c r="CW244">
        <f>ROUND(Y244*Source!I222,9)</f>
        <v>7.9649999999999999</v>
      </c>
      <c r="CX244">
        <f>ROUND(Y244*Source!I222,9)</f>
        <v>7.9649999999999999</v>
      </c>
      <c r="CY244">
        <f>AB244</f>
        <v>43.75</v>
      </c>
      <c r="CZ244">
        <f>AF244</f>
        <v>4.6900000000000004</v>
      </c>
      <c r="DA244">
        <f>AJ244</f>
        <v>8.91</v>
      </c>
      <c r="DB244">
        <f>ROUND((ROUND(AT244*CZ244,2)*1.25),6)</f>
        <v>31.125</v>
      </c>
      <c r="DC244">
        <f>ROUND((ROUND(AT244*AG244,2)*1.25),6)</f>
        <v>0</v>
      </c>
      <c r="DD244" t="s">
        <v>3</v>
      </c>
      <c r="DE244" t="s">
        <v>3</v>
      </c>
      <c r="DF244">
        <f t="shared" si="100"/>
        <v>0</v>
      </c>
      <c r="DG244">
        <f>ROUND(ROUND(AF244*AJ244,2)*CX244,2)</f>
        <v>332.86</v>
      </c>
      <c r="DH244">
        <f>ROUND(ROUND(AG244*AK244,2)*CX244,2)</f>
        <v>0</v>
      </c>
      <c r="DI244">
        <f t="shared" si="92"/>
        <v>0</v>
      </c>
      <c r="DJ244">
        <f>DG244</f>
        <v>332.86</v>
      </c>
      <c r="DK244">
        <v>0</v>
      </c>
      <c r="DL244" t="s">
        <v>3</v>
      </c>
      <c r="DM244">
        <v>0</v>
      </c>
      <c r="DN244" t="s">
        <v>3</v>
      </c>
      <c r="DO244">
        <v>0</v>
      </c>
    </row>
    <row r="245" spans="1:119" x14ac:dyDescent="0.2">
      <c r="A245">
        <f>ROW(Source!A222)</f>
        <v>222</v>
      </c>
      <c r="B245">
        <v>53860087</v>
      </c>
      <c r="C245">
        <v>53860903</v>
      </c>
      <c r="D245">
        <v>29580444</v>
      </c>
      <c r="E245">
        <v>1</v>
      </c>
      <c r="F245">
        <v>1</v>
      </c>
      <c r="G245">
        <v>29506949</v>
      </c>
      <c r="H245">
        <v>2</v>
      </c>
      <c r="I245" t="s">
        <v>787</v>
      </c>
      <c r="J245" t="s">
        <v>788</v>
      </c>
      <c r="K245" t="s">
        <v>789</v>
      </c>
      <c r="L245">
        <v>1368</v>
      </c>
      <c r="N245">
        <v>1011</v>
      </c>
      <c r="O245" t="s">
        <v>647</v>
      </c>
      <c r="P245" t="s">
        <v>647</v>
      </c>
      <c r="Q245">
        <v>1</v>
      </c>
      <c r="W245">
        <v>0</v>
      </c>
      <c r="X245">
        <v>-639516692</v>
      </c>
      <c r="Y245">
        <f>(AT245*1.25)</f>
        <v>4.6999999999999993</v>
      </c>
      <c r="AA245">
        <v>0</v>
      </c>
      <c r="AB245">
        <v>6.08</v>
      </c>
      <c r="AC245">
        <v>0</v>
      </c>
      <c r="AD245">
        <v>0</v>
      </c>
      <c r="AE245">
        <v>0</v>
      </c>
      <c r="AF245">
        <v>0.66</v>
      </c>
      <c r="AG245">
        <v>0</v>
      </c>
      <c r="AH245">
        <v>0</v>
      </c>
      <c r="AI245">
        <v>1</v>
      </c>
      <c r="AJ245">
        <v>8.8000000000000007</v>
      </c>
      <c r="AK245">
        <v>30.1</v>
      </c>
      <c r="AL245">
        <v>1</v>
      </c>
      <c r="AM245">
        <v>2</v>
      </c>
      <c r="AN245">
        <v>0</v>
      </c>
      <c r="AO245">
        <v>1</v>
      </c>
      <c r="AP245">
        <v>1</v>
      </c>
      <c r="AQ245">
        <v>0</v>
      </c>
      <c r="AR245">
        <v>0</v>
      </c>
      <c r="AS245" t="s">
        <v>3</v>
      </c>
      <c r="AT245">
        <v>3.76</v>
      </c>
      <c r="AU245" t="s">
        <v>51</v>
      </c>
      <c r="AV245">
        <v>0</v>
      </c>
      <c r="AW245">
        <v>2</v>
      </c>
      <c r="AX245">
        <v>53861368</v>
      </c>
      <c r="AY245">
        <v>1</v>
      </c>
      <c r="AZ245">
        <v>0</v>
      </c>
      <c r="BA245">
        <v>356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CV245">
        <v>0</v>
      </c>
      <c r="CW245">
        <f>ROUND(Y245*Source!I222,9)</f>
        <v>5.64</v>
      </c>
      <c r="CX245">
        <f>ROUND(Y245*Source!I222,9)</f>
        <v>5.64</v>
      </c>
      <c r="CY245">
        <f>AB245</f>
        <v>6.08</v>
      </c>
      <c r="CZ245">
        <f>AF245</f>
        <v>0.66</v>
      </c>
      <c r="DA245">
        <f>AJ245</f>
        <v>8.8000000000000007</v>
      </c>
      <c r="DB245">
        <f>ROUND((ROUND(AT245*CZ245,2)*1.25),6)</f>
        <v>3.1</v>
      </c>
      <c r="DC245">
        <f>ROUND((ROUND(AT245*AG245,2)*1.25),6)</f>
        <v>0</v>
      </c>
      <c r="DD245" t="s">
        <v>3</v>
      </c>
      <c r="DE245" t="s">
        <v>3</v>
      </c>
      <c r="DF245">
        <f t="shared" si="100"/>
        <v>0</v>
      </c>
      <c r="DG245">
        <f>ROUND(ROUND(AF245*AJ245,2)*CX245,2)</f>
        <v>32.770000000000003</v>
      </c>
      <c r="DH245">
        <f>ROUND(ROUND(AG245*AK245,2)*CX245,2)</f>
        <v>0</v>
      </c>
      <c r="DI245">
        <f t="shared" si="92"/>
        <v>0</v>
      </c>
      <c r="DJ245">
        <f>DG245</f>
        <v>32.770000000000003</v>
      </c>
      <c r="DK245">
        <v>0</v>
      </c>
      <c r="DL245" t="s">
        <v>3</v>
      </c>
      <c r="DM245">
        <v>0</v>
      </c>
      <c r="DN245" t="s">
        <v>3</v>
      </c>
      <c r="DO245">
        <v>0</v>
      </c>
    </row>
    <row r="246" spans="1:119" x14ac:dyDescent="0.2">
      <c r="A246">
        <f>ROW(Source!A222)</f>
        <v>222</v>
      </c>
      <c r="B246">
        <v>53860087</v>
      </c>
      <c r="C246">
        <v>53860903</v>
      </c>
      <c r="D246">
        <v>29580491</v>
      </c>
      <c r="E246">
        <v>1</v>
      </c>
      <c r="F246">
        <v>1</v>
      </c>
      <c r="G246">
        <v>29506949</v>
      </c>
      <c r="H246">
        <v>2</v>
      </c>
      <c r="I246" t="s">
        <v>650</v>
      </c>
      <c r="J246" t="s">
        <v>651</v>
      </c>
      <c r="K246" t="s">
        <v>652</v>
      </c>
      <c r="L246">
        <v>1368</v>
      </c>
      <c r="N246">
        <v>1011</v>
      </c>
      <c r="O246" t="s">
        <v>647</v>
      </c>
      <c r="P246" t="s">
        <v>647</v>
      </c>
      <c r="Q246">
        <v>1</v>
      </c>
      <c r="W246">
        <v>0</v>
      </c>
      <c r="X246">
        <v>-1440889904</v>
      </c>
      <c r="Y246">
        <f>(AT246*1.25)</f>
        <v>0.70000000000000007</v>
      </c>
      <c r="AA246">
        <v>0</v>
      </c>
      <c r="AB246">
        <v>1051.9000000000001</v>
      </c>
      <c r="AC246">
        <v>397.72</v>
      </c>
      <c r="AD246">
        <v>0</v>
      </c>
      <c r="AE246">
        <v>0</v>
      </c>
      <c r="AF246">
        <v>83.1</v>
      </c>
      <c r="AG246">
        <v>12.62</v>
      </c>
      <c r="AH246">
        <v>0</v>
      </c>
      <c r="AI246">
        <v>1</v>
      </c>
      <c r="AJ246">
        <v>12.09</v>
      </c>
      <c r="AK246">
        <v>30.1</v>
      </c>
      <c r="AL246">
        <v>1</v>
      </c>
      <c r="AM246">
        <v>2</v>
      </c>
      <c r="AN246">
        <v>0</v>
      </c>
      <c r="AO246">
        <v>1</v>
      </c>
      <c r="AP246">
        <v>1</v>
      </c>
      <c r="AQ246">
        <v>0</v>
      </c>
      <c r="AR246">
        <v>0</v>
      </c>
      <c r="AS246" t="s">
        <v>3</v>
      </c>
      <c r="AT246">
        <v>0.56000000000000005</v>
      </c>
      <c r="AU246" t="s">
        <v>51</v>
      </c>
      <c r="AV246">
        <v>0</v>
      </c>
      <c r="AW246">
        <v>2</v>
      </c>
      <c r="AX246">
        <v>53861369</v>
      </c>
      <c r="AY246">
        <v>1</v>
      </c>
      <c r="AZ246">
        <v>0</v>
      </c>
      <c r="BA246">
        <v>357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CV246">
        <v>0</v>
      </c>
      <c r="CW246">
        <f>ROUND(Y246*Source!I222,9)</f>
        <v>0.84</v>
      </c>
      <c r="CX246">
        <f>ROUND(Y246*Source!I222,9)</f>
        <v>0.84</v>
      </c>
      <c r="CY246">
        <f>AB246</f>
        <v>1051.9000000000001</v>
      </c>
      <c r="CZ246">
        <f>AF246</f>
        <v>83.1</v>
      </c>
      <c r="DA246">
        <f>AJ246</f>
        <v>12.09</v>
      </c>
      <c r="DB246">
        <f>ROUND((ROUND(AT246*CZ246,2)*1.25),6)</f>
        <v>58.174999999999997</v>
      </c>
      <c r="DC246">
        <f>ROUND((ROUND(AT246*AG246,2)*1.25),6)</f>
        <v>8.8375000000000004</v>
      </c>
      <c r="DD246" t="s">
        <v>3</v>
      </c>
      <c r="DE246" t="s">
        <v>3</v>
      </c>
      <c r="DF246">
        <f t="shared" si="100"/>
        <v>0</v>
      </c>
      <c r="DG246">
        <f>ROUND(ROUND(AF246*AJ246,2)*CX246,2)</f>
        <v>843.93</v>
      </c>
      <c r="DH246">
        <f>ROUND(ROUND(AG246*AK246,2)*CX246,2)</f>
        <v>319.08</v>
      </c>
      <c r="DI246">
        <f t="shared" si="92"/>
        <v>0</v>
      </c>
      <c r="DJ246">
        <f>DG246</f>
        <v>843.93</v>
      </c>
      <c r="DK246">
        <v>0</v>
      </c>
      <c r="DL246" t="s">
        <v>3</v>
      </c>
      <c r="DM246">
        <v>0</v>
      </c>
      <c r="DN246" t="s">
        <v>3</v>
      </c>
      <c r="DO246">
        <v>0</v>
      </c>
    </row>
    <row r="247" spans="1:119" x14ac:dyDescent="0.2">
      <c r="A247">
        <f>ROW(Source!A222)</f>
        <v>222</v>
      </c>
      <c r="B247">
        <v>53860087</v>
      </c>
      <c r="C247">
        <v>53860903</v>
      </c>
      <c r="D247">
        <v>29580541</v>
      </c>
      <c r="E247">
        <v>1</v>
      </c>
      <c r="F247">
        <v>1</v>
      </c>
      <c r="G247">
        <v>29506949</v>
      </c>
      <c r="H247">
        <v>2</v>
      </c>
      <c r="I247" t="s">
        <v>790</v>
      </c>
      <c r="J247" t="s">
        <v>791</v>
      </c>
      <c r="K247" t="s">
        <v>792</v>
      </c>
      <c r="L247">
        <v>1368</v>
      </c>
      <c r="N247">
        <v>1011</v>
      </c>
      <c r="O247" t="s">
        <v>647</v>
      </c>
      <c r="P247" t="s">
        <v>647</v>
      </c>
      <c r="Q247">
        <v>1</v>
      </c>
      <c r="W247">
        <v>0</v>
      </c>
      <c r="X247">
        <v>-11569220</v>
      </c>
      <c r="Y247">
        <f>(AT247*1.25)</f>
        <v>1.5</v>
      </c>
      <c r="AA247">
        <v>0</v>
      </c>
      <c r="AB247">
        <v>8.8699999999999992</v>
      </c>
      <c r="AC247">
        <v>0</v>
      </c>
      <c r="AD247">
        <v>0</v>
      </c>
      <c r="AE247">
        <v>0</v>
      </c>
      <c r="AF247">
        <v>1</v>
      </c>
      <c r="AG247">
        <v>0</v>
      </c>
      <c r="AH247">
        <v>0</v>
      </c>
      <c r="AI247">
        <v>1</v>
      </c>
      <c r="AJ247">
        <v>8.4700000000000006</v>
      </c>
      <c r="AK247">
        <v>30.1</v>
      </c>
      <c r="AL247">
        <v>1</v>
      </c>
      <c r="AM247">
        <v>2</v>
      </c>
      <c r="AN247">
        <v>0</v>
      </c>
      <c r="AO247">
        <v>1</v>
      </c>
      <c r="AP247">
        <v>1</v>
      </c>
      <c r="AQ247">
        <v>0</v>
      </c>
      <c r="AR247">
        <v>0</v>
      </c>
      <c r="AS247" t="s">
        <v>3</v>
      </c>
      <c r="AT247">
        <v>1.2</v>
      </c>
      <c r="AU247" t="s">
        <v>51</v>
      </c>
      <c r="AV247">
        <v>0</v>
      </c>
      <c r="AW247">
        <v>2</v>
      </c>
      <c r="AX247">
        <v>53861370</v>
      </c>
      <c r="AY247">
        <v>1</v>
      </c>
      <c r="AZ247">
        <v>0</v>
      </c>
      <c r="BA247">
        <v>358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CV247">
        <v>0</v>
      </c>
      <c r="CW247">
        <f>ROUND(Y247*Source!I222,9)</f>
        <v>1.8</v>
      </c>
      <c r="CX247">
        <f>ROUND(Y247*Source!I222,9)</f>
        <v>1.8</v>
      </c>
      <c r="CY247">
        <f>AB247</f>
        <v>8.8699999999999992</v>
      </c>
      <c r="CZ247">
        <f>AF247</f>
        <v>1</v>
      </c>
      <c r="DA247">
        <f>AJ247</f>
        <v>8.4700000000000006</v>
      </c>
      <c r="DB247">
        <f>ROUND((ROUND(AT247*CZ247,2)*1.25),6)</f>
        <v>1.5</v>
      </c>
      <c r="DC247">
        <f>ROUND((ROUND(AT247*AG247,2)*1.25),6)</f>
        <v>0</v>
      </c>
      <c r="DD247" t="s">
        <v>3</v>
      </c>
      <c r="DE247" t="s">
        <v>3</v>
      </c>
      <c r="DF247">
        <f t="shared" si="100"/>
        <v>0</v>
      </c>
      <c r="DG247">
        <f>ROUND(ROUND(AF247*AJ247,2)*CX247,2)</f>
        <v>15.25</v>
      </c>
      <c r="DH247">
        <f>ROUND(ROUND(AG247*AK247,2)*CX247,2)</f>
        <v>0</v>
      </c>
      <c r="DI247">
        <f t="shared" si="92"/>
        <v>0</v>
      </c>
      <c r="DJ247">
        <f>DG247</f>
        <v>15.25</v>
      </c>
      <c r="DK247">
        <v>0</v>
      </c>
      <c r="DL247" t="s">
        <v>3</v>
      </c>
      <c r="DM247">
        <v>0</v>
      </c>
      <c r="DN247" t="s">
        <v>3</v>
      </c>
      <c r="DO247">
        <v>0</v>
      </c>
    </row>
    <row r="248" spans="1:119" x14ac:dyDescent="0.2">
      <c r="A248">
        <f>ROW(Source!A222)</f>
        <v>222</v>
      </c>
      <c r="B248">
        <v>53860087</v>
      </c>
      <c r="C248">
        <v>53860903</v>
      </c>
      <c r="D248">
        <v>29507683</v>
      </c>
      <c r="E248">
        <v>29506949</v>
      </c>
      <c r="F248">
        <v>1</v>
      </c>
      <c r="G248">
        <v>29506949</v>
      </c>
      <c r="H248">
        <v>2</v>
      </c>
      <c r="I248" t="s">
        <v>641</v>
      </c>
      <c r="J248" t="s">
        <v>3</v>
      </c>
      <c r="K248" t="s">
        <v>642</v>
      </c>
      <c r="L248">
        <v>1344</v>
      </c>
      <c r="N248">
        <v>1008</v>
      </c>
      <c r="O248" t="s">
        <v>643</v>
      </c>
      <c r="P248" t="s">
        <v>643</v>
      </c>
      <c r="Q248">
        <v>1</v>
      </c>
      <c r="W248">
        <v>0</v>
      </c>
      <c r="X248">
        <v>-1180195794</v>
      </c>
      <c r="Y248">
        <f>(AT248*1.25)</f>
        <v>1.2500000000000001E-2</v>
      </c>
      <c r="AA248">
        <v>0</v>
      </c>
      <c r="AB248">
        <v>1.05</v>
      </c>
      <c r="AC248">
        <v>0</v>
      </c>
      <c r="AD248">
        <v>0</v>
      </c>
      <c r="AE248">
        <v>0</v>
      </c>
      <c r="AF248">
        <v>1</v>
      </c>
      <c r="AG248">
        <v>0</v>
      </c>
      <c r="AH248">
        <v>0</v>
      </c>
      <c r="AI248">
        <v>1</v>
      </c>
      <c r="AJ248">
        <v>1</v>
      </c>
      <c r="AK248">
        <v>1</v>
      </c>
      <c r="AL248">
        <v>1</v>
      </c>
      <c r="AM248">
        <v>-2</v>
      </c>
      <c r="AN248">
        <v>0</v>
      </c>
      <c r="AO248">
        <v>1</v>
      </c>
      <c r="AP248">
        <v>1</v>
      </c>
      <c r="AQ248">
        <v>0</v>
      </c>
      <c r="AR248">
        <v>0</v>
      </c>
      <c r="AS248" t="s">
        <v>3</v>
      </c>
      <c r="AT248">
        <v>0.01</v>
      </c>
      <c r="AU248" t="s">
        <v>51</v>
      </c>
      <c r="AV248">
        <v>0</v>
      </c>
      <c r="AW248">
        <v>2</v>
      </c>
      <c r="AX248">
        <v>53861371</v>
      </c>
      <c r="AY248">
        <v>1</v>
      </c>
      <c r="AZ248">
        <v>0</v>
      </c>
      <c r="BA248">
        <v>359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CV248">
        <v>0</v>
      </c>
      <c r="CW248">
        <f>ROUND(Y248*Source!I222,9)</f>
        <v>1.4999999999999999E-2</v>
      </c>
      <c r="CX248">
        <f>ROUND(Y248*Source!I222,9)</f>
        <v>1.4999999999999999E-2</v>
      </c>
      <c r="CY248">
        <f>AB248</f>
        <v>1.05</v>
      </c>
      <c r="CZ248">
        <f>AF248</f>
        <v>1</v>
      </c>
      <c r="DA248">
        <f>AJ248</f>
        <v>1</v>
      </c>
      <c r="DB248">
        <f>ROUND((ROUND(AT248*CZ248,2)*1.25),6)</f>
        <v>1.2500000000000001E-2</v>
      </c>
      <c r="DC248">
        <f>ROUND((ROUND(AT248*AG248,2)*1.25),6)</f>
        <v>0</v>
      </c>
      <c r="DD248" t="s">
        <v>3</v>
      </c>
      <c r="DE248" t="s">
        <v>3</v>
      </c>
      <c r="DF248">
        <f t="shared" si="100"/>
        <v>0</v>
      </c>
      <c r="DG248">
        <f t="shared" ref="DG248:DG253" si="101">ROUND(ROUND(AF248,2)*CX248,2)</f>
        <v>0.02</v>
      </c>
      <c r="DH248">
        <f t="shared" ref="DH248:DH253" si="102">ROUND(ROUND(AG248,2)*CX248,2)</f>
        <v>0</v>
      </c>
      <c r="DI248">
        <f t="shared" si="92"/>
        <v>0</v>
      </c>
      <c r="DJ248">
        <f>DG248</f>
        <v>0.02</v>
      </c>
      <c r="DK248">
        <v>0</v>
      </c>
      <c r="DL248" t="s">
        <v>3</v>
      </c>
      <c r="DM248">
        <v>0</v>
      </c>
      <c r="DN248" t="s">
        <v>3</v>
      </c>
      <c r="DO248">
        <v>0</v>
      </c>
    </row>
    <row r="249" spans="1:119" x14ac:dyDescent="0.2">
      <c r="A249">
        <f>ROW(Source!A222)</f>
        <v>222</v>
      </c>
      <c r="B249">
        <v>53860087</v>
      </c>
      <c r="C249">
        <v>53860903</v>
      </c>
      <c r="D249">
        <v>29558353</v>
      </c>
      <c r="E249">
        <v>1</v>
      </c>
      <c r="F249">
        <v>1</v>
      </c>
      <c r="G249">
        <v>29506949</v>
      </c>
      <c r="H249">
        <v>3</v>
      </c>
      <c r="I249" t="s">
        <v>727</v>
      </c>
      <c r="J249" t="s">
        <v>728</v>
      </c>
      <c r="K249" t="s">
        <v>729</v>
      </c>
      <c r="L249">
        <v>1346</v>
      </c>
      <c r="N249">
        <v>1009</v>
      </c>
      <c r="O249" t="s">
        <v>58</v>
      </c>
      <c r="P249" t="s">
        <v>58</v>
      </c>
      <c r="Q249">
        <v>1</v>
      </c>
      <c r="W249">
        <v>0</v>
      </c>
      <c r="X249">
        <v>-663292889</v>
      </c>
      <c r="Y249">
        <f>AT249</f>
        <v>10.3</v>
      </c>
      <c r="AA249">
        <v>80.66</v>
      </c>
      <c r="AB249">
        <v>0</v>
      </c>
      <c r="AC249">
        <v>0</v>
      </c>
      <c r="AD249">
        <v>0</v>
      </c>
      <c r="AE249">
        <v>17.309999999999999</v>
      </c>
      <c r="AF249">
        <v>0</v>
      </c>
      <c r="AG249">
        <v>0</v>
      </c>
      <c r="AH249">
        <v>0</v>
      </c>
      <c r="AI249">
        <v>4.66</v>
      </c>
      <c r="AJ249">
        <v>1</v>
      </c>
      <c r="AK249">
        <v>1</v>
      </c>
      <c r="AL249">
        <v>1</v>
      </c>
      <c r="AM249">
        <v>2</v>
      </c>
      <c r="AN249">
        <v>0</v>
      </c>
      <c r="AO249">
        <v>1</v>
      </c>
      <c r="AP249">
        <v>1</v>
      </c>
      <c r="AQ249">
        <v>0</v>
      </c>
      <c r="AR249">
        <v>0</v>
      </c>
      <c r="AS249" t="s">
        <v>3</v>
      </c>
      <c r="AT249">
        <v>10.3</v>
      </c>
      <c r="AU249" t="s">
        <v>3</v>
      </c>
      <c r="AV249">
        <v>0</v>
      </c>
      <c r="AW249">
        <v>2</v>
      </c>
      <c r="AX249">
        <v>53861372</v>
      </c>
      <c r="AY249">
        <v>1</v>
      </c>
      <c r="AZ249">
        <v>0</v>
      </c>
      <c r="BA249">
        <v>360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CV249">
        <v>0</v>
      </c>
      <c r="CW249">
        <v>0</v>
      </c>
      <c r="CX249">
        <f>ROUND(Y249*Source!I222,9)</f>
        <v>12.36</v>
      </c>
      <c r="CY249">
        <f>AA249</f>
        <v>80.66</v>
      </c>
      <c r="CZ249">
        <f>AE249</f>
        <v>17.309999999999999</v>
      </c>
      <c r="DA249">
        <f>AI249</f>
        <v>4.66</v>
      </c>
      <c r="DB249">
        <f>ROUND(ROUND(AT249*CZ249,2),6)</f>
        <v>178.29</v>
      </c>
      <c r="DC249">
        <f>ROUND(ROUND(AT249*AG249,2),6)</f>
        <v>0</v>
      </c>
      <c r="DD249" t="s">
        <v>3</v>
      </c>
      <c r="DE249" t="s">
        <v>3</v>
      </c>
      <c r="DF249">
        <f>ROUND(ROUND(AE249*AI249,2)*CX249,2)</f>
        <v>996.96</v>
      </c>
      <c r="DG249">
        <f t="shared" si="101"/>
        <v>0</v>
      </c>
      <c r="DH249">
        <f t="shared" si="102"/>
        <v>0</v>
      </c>
      <c r="DI249">
        <f t="shared" si="92"/>
        <v>0</v>
      </c>
      <c r="DJ249">
        <f>DF249</f>
        <v>996.96</v>
      </c>
      <c r="DK249">
        <v>0</v>
      </c>
      <c r="DL249" t="s">
        <v>3</v>
      </c>
      <c r="DM249">
        <v>0</v>
      </c>
      <c r="DN249" t="s">
        <v>3</v>
      </c>
      <c r="DO249">
        <v>0</v>
      </c>
    </row>
    <row r="250" spans="1:119" x14ac:dyDescent="0.2">
      <c r="A250">
        <f>ROW(Source!A222)</f>
        <v>222</v>
      </c>
      <c r="B250">
        <v>53860087</v>
      </c>
      <c r="C250">
        <v>53860903</v>
      </c>
      <c r="D250">
        <v>29558355</v>
      </c>
      <c r="E250">
        <v>1</v>
      </c>
      <c r="F250">
        <v>1</v>
      </c>
      <c r="G250">
        <v>29506949</v>
      </c>
      <c r="H250">
        <v>3</v>
      </c>
      <c r="I250" t="s">
        <v>488</v>
      </c>
      <c r="J250" t="s">
        <v>490</v>
      </c>
      <c r="K250" t="s">
        <v>489</v>
      </c>
      <c r="L250">
        <v>1346</v>
      </c>
      <c r="N250">
        <v>1009</v>
      </c>
      <c r="O250" t="s">
        <v>58</v>
      </c>
      <c r="P250" t="s">
        <v>58</v>
      </c>
      <c r="Q250">
        <v>1</v>
      </c>
      <c r="W250">
        <v>0</v>
      </c>
      <c r="X250">
        <v>-81053968</v>
      </c>
      <c r="Y250">
        <f>AT250</f>
        <v>36.049999999999997</v>
      </c>
      <c r="AA250">
        <v>115.34</v>
      </c>
      <c r="AB250">
        <v>0</v>
      </c>
      <c r="AC250">
        <v>0</v>
      </c>
      <c r="AD250">
        <v>0</v>
      </c>
      <c r="AE250">
        <v>21.97</v>
      </c>
      <c r="AF250">
        <v>0</v>
      </c>
      <c r="AG250">
        <v>0</v>
      </c>
      <c r="AH250">
        <v>0</v>
      </c>
      <c r="AI250">
        <v>5.25</v>
      </c>
      <c r="AJ250">
        <v>1</v>
      </c>
      <c r="AK250">
        <v>1</v>
      </c>
      <c r="AL250">
        <v>1</v>
      </c>
      <c r="AM250">
        <v>0</v>
      </c>
      <c r="AN250">
        <v>0</v>
      </c>
      <c r="AO250">
        <v>0</v>
      </c>
      <c r="AP250">
        <v>1</v>
      </c>
      <c r="AQ250">
        <v>0</v>
      </c>
      <c r="AR250">
        <v>0</v>
      </c>
      <c r="AS250" t="s">
        <v>3</v>
      </c>
      <c r="AT250">
        <v>36.049999999999997</v>
      </c>
      <c r="AU250" t="s">
        <v>3</v>
      </c>
      <c r="AV250">
        <v>0</v>
      </c>
      <c r="AW250">
        <v>1</v>
      </c>
      <c r="AX250">
        <v>-1</v>
      </c>
      <c r="AY250">
        <v>0</v>
      </c>
      <c r="AZ250">
        <v>0</v>
      </c>
      <c r="BA250" t="s">
        <v>3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CV250">
        <v>0</v>
      </c>
      <c r="CW250">
        <v>0</v>
      </c>
      <c r="CX250">
        <f>ROUND(Y250*Source!I222,9)</f>
        <v>43.26</v>
      </c>
      <c r="CY250">
        <f>AA250</f>
        <v>115.34</v>
      </c>
      <c r="CZ250">
        <f>AE250</f>
        <v>21.97</v>
      </c>
      <c r="DA250">
        <f>AI250</f>
        <v>5.25</v>
      </c>
      <c r="DB250">
        <f>ROUND(ROUND(AT250*CZ250,2),6)</f>
        <v>792.02</v>
      </c>
      <c r="DC250">
        <f>ROUND(ROUND(AT250*AG250,2),6)</f>
        <v>0</v>
      </c>
      <c r="DD250" t="s">
        <v>3</v>
      </c>
      <c r="DE250" t="s">
        <v>3</v>
      </c>
      <c r="DF250">
        <f>ROUND(ROUND(AE250*AI250,2)*CX250,2)</f>
        <v>4989.6099999999997</v>
      </c>
      <c r="DG250">
        <f t="shared" si="101"/>
        <v>0</v>
      </c>
      <c r="DH250">
        <f t="shared" si="102"/>
        <v>0</v>
      </c>
      <c r="DI250">
        <f t="shared" si="92"/>
        <v>0</v>
      </c>
      <c r="DJ250">
        <f>DF250</f>
        <v>4989.6099999999997</v>
      </c>
      <c r="DK250">
        <v>0</v>
      </c>
      <c r="DL250" t="s">
        <v>3</v>
      </c>
      <c r="DM250">
        <v>0</v>
      </c>
      <c r="DN250" t="s">
        <v>3</v>
      </c>
      <c r="DO250">
        <v>0</v>
      </c>
    </row>
    <row r="251" spans="1:119" x14ac:dyDescent="0.2">
      <c r="A251">
        <f>ROW(Source!A222)</f>
        <v>222</v>
      </c>
      <c r="B251">
        <v>53860087</v>
      </c>
      <c r="C251">
        <v>53860903</v>
      </c>
      <c r="D251">
        <v>29558360</v>
      </c>
      <c r="E251">
        <v>1</v>
      </c>
      <c r="F251">
        <v>1</v>
      </c>
      <c r="G251">
        <v>29506949</v>
      </c>
      <c r="H251">
        <v>3</v>
      </c>
      <c r="I251" t="s">
        <v>793</v>
      </c>
      <c r="J251" t="s">
        <v>794</v>
      </c>
      <c r="K251" t="s">
        <v>795</v>
      </c>
      <c r="L251">
        <v>1301</v>
      </c>
      <c r="N251">
        <v>1003</v>
      </c>
      <c r="O251" t="s">
        <v>125</v>
      </c>
      <c r="P251" t="s">
        <v>125</v>
      </c>
      <c r="Q251">
        <v>1</v>
      </c>
      <c r="W251">
        <v>0</v>
      </c>
      <c r="X251">
        <v>1720566959</v>
      </c>
      <c r="Y251">
        <f>AT251</f>
        <v>60</v>
      </c>
      <c r="AA251">
        <v>53.61</v>
      </c>
      <c r="AB251">
        <v>0</v>
      </c>
      <c r="AC251">
        <v>0</v>
      </c>
      <c r="AD251">
        <v>0</v>
      </c>
      <c r="AE251">
        <v>9.8000000000000007</v>
      </c>
      <c r="AF251">
        <v>0</v>
      </c>
      <c r="AG251">
        <v>0</v>
      </c>
      <c r="AH251">
        <v>0</v>
      </c>
      <c r="AI251">
        <v>5.47</v>
      </c>
      <c r="AJ251">
        <v>1</v>
      </c>
      <c r="AK251">
        <v>1</v>
      </c>
      <c r="AL251">
        <v>1</v>
      </c>
      <c r="AM251">
        <v>2</v>
      </c>
      <c r="AN251">
        <v>0</v>
      </c>
      <c r="AO251">
        <v>1</v>
      </c>
      <c r="AP251">
        <v>1</v>
      </c>
      <c r="AQ251">
        <v>0</v>
      </c>
      <c r="AR251">
        <v>0</v>
      </c>
      <c r="AS251" t="s">
        <v>3</v>
      </c>
      <c r="AT251">
        <v>60</v>
      </c>
      <c r="AU251" t="s">
        <v>3</v>
      </c>
      <c r="AV251">
        <v>0</v>
      </c>
      <c r="AW251">
        <v>2</v>
      </c>
      <c r="AX251">
        <v>53861373</v>
      </c>
      <c r="AY251">
        <v>1</v>
      </c>
      <c r="AZ251">
        <v>0</v>
      </c>
      <c r="BA251">
        <v>361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CV251">
        <v>0</v>
      </c>
      <c r="CW251">
        <v>0</v>
      </c>
      <c r="CX251">
        <f>ROUND(Y251*Source!I222,9)</f>
        <v>72</v>
      </c>
      <c r="CY251">
        <f>AA251</f>
        <v>53.61</v>
      </c>
      <c r="CZ251">
        <f>AE251</f>
        <v>9.8000000000000007</v>
      </c>
      <c r="DA251">
        <f>AI251</f>
        <v>5.47</v>
      </c>
      <c r="DB251">
        <f>ROUND(ROUND(AT251*CZ251,2),6)</f>
        <v>588</v>
      </c>
      <c r="DC251">
        <f>ROUND(ROUND(AT251*AG251,2),6)</f>
        <v>0</v>
      </c>
      <c r="DD251" t="s">
        <v>3</v>
      </c>
      <c r="DE251" t="s">
        <v>3</v>
      </c>
      <c r="DF251">
        <f>ROUND(ROUND(AE251*AI251,2)*CX251,2)</f>
        <v>3859.92</v>
      </c>
      <c r="DG251">
        <f t="shared" si="101"/>
        <v>0</v>
      </c>
      <c r="DH251">
        <f t="shared" si="102"/>
        <v>0</v>
      </c>
      <c r="DI251">
        <f t="shared" si="92"/>
        <v>0</v>
      </c>
      <c r="DJ251">
        <f>DF251</f>
        <v>3859.92</v>
      </c>
      <c r="DK251">
        <v>0</v>
      </c>
      <c r="DL251" t="s">
        <v>3</v>
      </c>
      <c r="DM251">
        <v>0</v>
      </c>
      <c r="DN251" t="s">
        <v>3</v>
      </c>
      <c r="DO251">
        <v>0</v>
      </c>
    </row>
    <row r="252" spans="1:119" x14ac:dyDescent="0.2">
      <c r="A252">
        <f>ROW(Source!A222)</f>
        <v>222</v>
      </c>
      <c r="B252">
        <v>53860087</v>
      </c>
      <c r="C252">
        <v>53860903</v>
      </c>
      <c r="D252">
        <v>29558414</v>
      </c>
      <c r="E252">
        <v>1</v>
      </c>
      <c r="F252">
        <v>1</v>
      </c>
      <c r="G252">
        <v>29506949</v>
      </c>
      <c r="H252">
        <v>3</v>
      </c>
      <c r="I252" t="s">
        <v>492</v>
      </c>
      <c r="J252" t="s">
        <v>494</v>
      </c>
      <c r="K252" t="s">
        <v>493</v>
      </c>
      <c r="L252">
        <v>1327</v>
      </c>
      <c r="N252">
        <v>1005</v>
      </c>
      <c r="O252" t="s">
        <v>100</v>
      </c>
      <c r="P252" t="s">
        <v>100</v>
      </c>
      <c r="Q252">
        <v>1</v>
      </c>
      <c r="W252">
        <v>0</v>
      </c>
      <c r="X252">
        <v>-774822614</v>
      </c>
      <c r="Y252">
        <f>AT252</f>
        <v>107</v>
      </c>
      <c r="AA252">
        <v>889.79</v>
      </c>
      <c r="AB252">
        <v>0</v>
      </c>
      <c r="AC252">
        <v>0</v>
      </c>
      <c r="AD252">
        <v>0</v>
      </c>
      <c r="AE252">
        <v>324.74</v>
      </c>
      <c r="AF252">
        <v>0</v>
      </c>
      <c r="AG252">
        <v>0</v>
      </c>
      <c r="AH252">
        <v>0</v>
      </c>
      <c r="AI252">
        <v>2.74</v>
      </c>
      <c r="AJ252">
        <v>1</v>
      </c>
      <c r="AK252">
        <v>1</v>
      </c>
      <c r="AL252">
        <v>1</v>
      </c>
      <c r="AM252">
        <v>0</v>
      </c>
      <c r="AN252">
        <v>0</v>
      </c>
      <c r="AO252">
        <v>0</v>
      </c>
      <c r="AP252">
        <v>1</v>
      </c>
      <c r="AQ252">
        <v>0</v>
      </c>
      <c r="AR252">
        <v>0</v>
      </c>
      <c r="AS252" t="s">
        <v>3</v>
      </c>
      <c r="AT252">
        <v>107</v>
      </c>
      <c r="AU252" t="s">
        <v>3</v>
      </c>
      <c r="AV252">
        <v>0</v>
      </c>
      <c r="AW252">
        <v>1</v>
      </c>
      <c r="AX252">
        <v>-1</v>
      </c>
      <c r="AY252">
        <v>0</v>
      </c>
      <c r="AZ252">
        <v>0</v>
      </c>
      <c r="BA252" t="s">
        <v>3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CV252">
        <v>0</v>
      </c>
      <c r="CW252">
        <v>0</v>
      </c>
      <c r="CX252">
        <f>ROUND(Y252*Source!I222,9)</f>
        <v>128.4</v>
      </c>
      <c r="CY252">
        <f>AA252</f>
        <v>889.79</v>
      </c>
      <c r="CZ252">
        <f>AE252</f>
        <v>324.74</v>
      </c>
      <c r="DA252">
        <f>AI252</f>
        <v>2.74</v>
      </c>
      <c r="DB252">
        <f>ROUND(ROUND(AT252*CZ252,2),6)</f>
        <v>34747.18</v>
      </c>
      <c r="DC252">
        <f>ROUND(ROUND(AT252*AG252,2),6)</f>
        <v>0</v>
      </c>
      <c r="DD252" t="s">
        <v>3</v>
      </c>
      <c r="DE252" t="s">
        <v>3</v>
      </c>
      <c r="DF252">
        <f>ROUND(ROUND(AE252*AI252,2)*CX252,2)</f>
        <v>114249.04</v>
      </c>
      <c r="DG252">
        <f t="shared" si="101"/>
        <v>0</v>
      </c>
      <c r="DH252">
        <f t="shared" si="102"/>
        <v>0</v>
      </c>
      <c r="DI252">
        <f t="shared" si="92"/>
        <v>0</v>
      </c>
      <c r="DJ252">
        <f>DF252</f>
        <v>114249.04</v>
      </c>
      <c r="DK252">
        <v>0</v>
      </c>
      <c r="DL252" t="s">
        <v>3</v>
      </c>
      <c r="DM252">
        <v>0</v>
      </c>
      <c r="DN252" t="s">
        <v>3</v>
      </c>
      <c r="DO252">
        <v>0</v>
      </c>
    </row>
    <row r="253" spans="1:119" x14ac:dyDescent="0.2">
      <c r="A253">
        <f>ROW(Source!A225)</f>
        <v>225</v>
      </c>
      <c r="B253">
        <v>53860087</v>
      </c>
      <c r="C253">
        <v>53860926</v>
      </c>
      <c r="D253">
        <v>29506954</v>
      </c>
      <c r="E253">
        <v>29506949</v>
      </c>
      <c r="F253">
        <v>1</v>
      </c>
      <c r="G253">
        <v>29506949</v>
      </c>
      <c r="H253">
        <v>1</v>
      </c>
      <c r="I253" t="s">
        <v>638</v>
      </c>
      <c r="J253" t="s">
        <v>3</v>
      </c>
      <c r="K253" t="s">
        <v>639</v>
      </c>
      <c r="L253">
        <v>1191</v>
      </c>
      <c r="N253">
        <v>1013</v>
      </c>
      <c r="O253" t="s">
        <v>640</v>
      </c>
      <c r="P253" t="s">
        <v>640</v>
      </c>
      <c r="Q253">
        <v>1</v>
      </c>
      <c r="W253">
        <v>0</v>
      </c>
      <c r="X253">
        <v>476480486</v>
      </c>
      <c r="Y253">
        <f>(AT253*1.15)</f>
        <v>25.932499999999997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1</v>
      </c>
      <c r="AJ253">
        <v>1</v>
      </c>
      <c r="AK253">
        <v>1</v>
      </c>
      <c r="AL253">
        <v>1</v>
      </c>
      <c r="AM253">
        <v>-2</v>
      </c>
      <c r="AN253">
        <v>0</v>
      </c>
      <c r="AO253">
        <v>1</v>
      </c>
      <c r="AP253">
        <v>1</v>
      </c>
      <c r="AQ253">
        <v>0</v>
      </c>
      <c r="AR253">
        <v>0</v>
      </c>
      <c r="AS253" t="s">
        <v>3</v>
      </c>
      <c r="AT253">
        <v>22.55</v>
      </c>
      <c r="AU253" t="s">
        <v>52</v>
      </c>
      <c r="AV253">
        <v>1</v>
      </c>
      <c r="AW253">
        <v>2</v>
      </c>
      <c r="AX253">
        <v>53861376</v>
      </c>
      <c r="AY253">
        <v>1</v>
      </c>
      <c r="AZ253">
        <v>0</v>
      </c>
      <c r="BA253">
        <v>364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CU253">
        <f>ROUND(AT253*Source!I225*AH253*AL253,2)</f>
        <v>0</v>
      </c>
      <c r="CV253">
        <f>ROUND(Y253*Source!I225,9)</f>
        <v>47.975124999999998</v>
      </c>
      <c r="CW253">
        <v>0</v>
      </c>
      <c r="CX253">
        <f>ROUND(Y253*Source!I225,9)</f>
        <v>47.975124999999998</v>
      </c>
      <c r="CY253">
        <f>AD253</f>
        <v>0</v>
      </c>
      <c r="CZ253">
        <f>AH253</f>
        <v>0</v>
      </c>
      <c r="DA253">
        <f>AL253</f>
        <v>1</v>
      </c>
      <c r="DB253">
        <f>ROUND((ROUND(AT253*CZ253,2)*1.15),6)</f>
        <v>0</v>
      </c>
      <c r="DC253">
        <f>ROUND((ROUND(AT253*AG253,2)*1.15),6)</f>
        <v>0</v>
      </c>
      <c r="DD253" t="s">
        <v>3</v>
      </c>
      <c r="DE253" t="s">
        <v>3</v>
      </c>
      <c r="DF253">
        <f>ROUND(ROUND(AE253,2)*CX253,2)</f>
        <v>0</v>
      </c>
      <c r="DG253">
        <f t="shared" si="101"/>
        <v>0</v>
      </c>
      <c r="DH253">
        <f t="shared" si="102"/>
        <v>0</v>
      </c>
      <c r="DI253">
        <f t="shared" si="92"/>
        <v>0</v>
      </c>
      <c r="DJ253">
        <f>DI253</f>
        <v>0</v>
      </c>
      <c r="DK253">
        <v>0</v>
      </c>
      <c r="DL253" t="s">
        <v>3</v>
      </c>
      <c r="DM253">
        <v>0</v>
      </c>
      <c r="DN253" t="s">
        <v>3</v>
      </c>
      <c r="DO253">
        <v>0</v>
      </c>
    </row>
    <row r="254" spans="1:119" x14ac:dyDescent="0.2">
      <c r="A254">
        <f>ROW(Source!A225)</f>
        <v>225</v>
      </c>
      <c r="B254">
        <v>53860087</v>
      </c>
      <c r="C254">
        <v>53860926</v>
      </c>
      <c r="D254">
        <v>29580545</v>
      </c>
      <c r="E254">
        <v>1</v>
      </c>
      <c r="F254">
        <v>1</v>
      </c>
      <c r="G254">
        <v>29506949</v>
      </c>
      <c r="H254">
        <v>2</v>
      </c>
      <c r="I254" t="s">
        <v>796</v>
      </c>
      <c r="J254" t="s">
        <v>797</v>
      </c>
      <c r="K254" t="s">
        <v>798</v>
      </c>
      <c r="L254">
        <v>1368</v>
      </c>
      <c r="N254">
        <v>1011</v>
      </c>
      <c r="O254" t="s">
        <v>647</v>
      </c>
      <c r="P254" t="s">
        <v>647</v>
      </c>
      <c r="Q254">
        <v>1</v>
      </c>
      <c r="W254">
        <v>0</v>
      </c>
      <c r="X254">
        <v>-1229299003</v>
      </c>
      <c r="Y254">
        <f>(AT254*1.25)</f>
        <v>1.0374999999999999</v>
      </c>
      <c r="AA254">
        <v>0</v>
      </c>
      <c r="AB254">
        <v>3.34</v>
      </c>
      <c r="AC254">
        <v>0</v>
      </c>
      <c r="AD254">
        <v>0</v>
      </c>
      <c r="AE254">
        <v>0</v>
      </c>
      <c r="AF254">
        <v>0.36</v>
      </c>
      <c r="AG254">
        <v>0</v>
      </c>
      <c r="AH254">
        <v>0</v>
      </c>
      <c r="AI254">
        <v>1</v>
      </c>
      <c r="AJ254">
        <v>8.86</v>
      </c>
      <c r="AK254">
        <v>30.1</v>
      </c>
      <c r="AL254">
        <v>1</v>
      </c>
      <c r="AM254">
        <v>2</v>
      </c>
      <c r="AN254">
        <v>0</v>
      </c>
      <c r="AO254">
        <v>1</v>
      </c>
      <c r="AP254">
        <v>1</v>
      </c>
      <c r="AQ254">
        <v>0</v>
      </c>
      <c r="AR254">
        <v>0</v>
      </c>
      <c r="AS254" t="s">
        <v>3</v>
      </c>
      <c r="AT254">
        <v>0.83</v>
      </c>
      <c r="AU254" t="s">
        <v>51</v>
      </c>
      <c r="AV254">
        <v>0</v>
      </c>
      <c r="AW254">
        <v>2</v>
      </c>
      <c r="AX254">
        <v>53861378</v>
      </c>
      <c r="AY254">
        <v>1</v>
      </c>
      <c r="AZ254">
        <v>0</v>
      </c>
      <c r="BA254">
        <v>366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CV254">
        <v>0</v>
      </c>
      <c r="CW254">
        <f>ROUND(Y254*Source!I225,9)</f>
        <v>1.9193750000000001</v>
      </c>
      <c r="CX254">
        <f>ROUND(Y254*Source!I225,9)</f>
        <v>1.9193750000000001</v>
      </c>
      <c r="CY254">
        <f>AB254</f>
        <v>3.34</v>
      </c>
      <c r="CZ254">
        <f>AF254</f>
        <v>0.36</v>
      </c>
      <c r="DA254">
        <f>AJ254</f>
        <v>8.86</v>
      </c>
      <c r="DB254">
        <f>ROUND((ROUND(AT254*CZ254,2)*1.25),6)</f>
        <v>0.375</v>
      </c>
      <c r="DC254">
        <f>ROUND((ROUND(AT254*AG254,2)*1.25),6)</f>
        <v>0</v>
      </c>
      <c r="DD254" t="s">
        <v>3</v>
      </c>
      <c r="DE254" t="s">
        <v>3</v>
      </c>
      <c r="DF254">
        <f>ROUND(ROUND(AE254,2)*CX254,2)</f>
        <v>0</v>
      </c>
      <c r="DG254">
        <f>ROUND(ROUND(AF254*AJ254,2)*CX254,2)</f>
        <v>6.12</v>
      </c>
      <c r="DH254">
        <f>ROUND(ROUND(AG254*AK254,2)*CX254,2)</f>
        <v>0</v>
      </c>
      <c r="DI254">
        <f t="shared" si="92"/>
        <v>0</v>
      </c>
      <c r="DJ254">
        <f>DG254</f>
        <v>6.12</v>
      </c>
      <c r="DK254">
        <v>0</v>
      </c>
      <c r="DL254" t="s">
        <v>3</v>
      </c>
      <c r="DM254">
        <v>0</v>
      </c>
      <c r="DN254" t="s">
        <v>3</v>
      </c>
      <c r="DO254">
        <v>0</v>
      </c>
    </row>
    <row r="255" spans="1:119" x14ac:dyDescent="0.2">
      <c r="A255">
        <f>ROW(Source!A225)</f>
        <v>225</v>
      </c>
      <c r="B255">
        <v>53860087</v>
      </c>
      <c r="C255">
        <v>53860926</v>
      </c>
      <c r="D255">
        <v>29507683</v>
      </c>
      <c r="E255">
        <v>29506949</v>
      </c>
      <c r="F255">
        <v>1</v>
      </c>
      <c r="G255">
        <v>29506949</v>
      </c>
      <c r="H255">
        <v>2</v>
      </c>
      <c r="I255" t="s">
        <v>641</v>
      </c>
      <c r="J255" t="s">
        <v>3</v>
      </c>
      <c r="K255" t="s">
        <v>642</v>
      </c>
      <c r="L255">
        <v>1344</v>
      </c>
      <c r="N255">
        <v>1008</v>
      </c>
      <c r="O255" t="s">
        <v>643</v>
      </c>
      <c r="P255" t="s">
        <v>643</v>
      </c>
      <c r="Q255">
        <v>1</v>
      </c>
      <c r="W255">
        <v>0</v>
      </c>
      <c r="X255">
        <v>-1180195794</v>
      </c>
      <c r="Y255">
        <f>(AT255*1.25)</f>
        <v>53.075000000000003</v>
      </c>
      <c r="AA255">
        <v>0</v>
      </c>
      <c r="AB255">
        <v>1.05</v>
      </c>
      <c r="AC255">
        <v>0</v>
      </c>
      <c r="AD255">
        <v>0</v>
      </c>
      <c r="AE255">
        <v>0</v>
      </c>
      <c r="AF255">
        <v>1</v>
      </c>
      <c r="AG255">
        <v>0</v>
      </c>
      <c r="AH255">
        <v>0</v>
      </c>
      <c r="AI255">
        <v>1</v>
      </c>
      <c r="AJ255">
        <v>1</v>
      </c>
      <c r="AK255">
        <v>1</v>
      </c>
      <c r="AL255">
        <v>1</v>
      </c>
      <c r="AM255">
        <v>-2</v>
      </c>
      <c r="AN255">
        <v>0</v>
      </c>
      <c r="AO255">
        <v>1</v>
      </c>
      <c r="AP255">
        <v>1</v>
      </c>
      <c r="AQ255">
        <v>0</v>
      </c>
      <c r="AR255">
        <v>0</v>
      </c>
      <c r="AS255" t="s">
        <v>3</v>
      </c>
      <c r="AT255">
        <v>42.46</v>
      </c>
      <c r="AU255" t="s">
        <v>51</v>
      </c>
      <c r="AV255">
        <v>0</v>
      </c>
      <c r="AW255">
        <v>1</v>
      </c>
      <c r="AX255">
        <v>-1</v>
      </c>
      <c r="AY255">
        <v>0</v>
      </c>
      <c r="AZ255">
        <v>0</v>
      </c>
      <c r="BA255" t="s">
        <v>3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CV255">
        <v>0</v>
      </c>
      <c r="CW255">
        <f>ROUND(Y255*Source!I225,9)</f>
        <v>98.188749999999999</v>
      </c>
      <c r="CX255">
        <f>ROUND(Y255*Source!I225,9)</f>
        <v>98.188749999999999</v>
      </c>
      <c r="CY255">
        <f>AB255</f>
        <v>1.05</v>
      </c>
      <c r="CZ255">
        <f>AF255</f>
        <v>1</v>
      </c>
      <c r="DA255">
        <f>AJ255</f>
        <v>1</v>
      </c>
      <c r="DB255">
        <f>ROUND((ROUND(AT255*CZ255,2)*1.25),6)</f>
        <v>53.075000000000003</v>
      </c>
      <c r="DC255">
        <f>ROUND((ROUND(AT255*AG255,2)*1.25),6)</f>
        <v>0</v>
      </c>
      <c r="DD255" t="s">
        <v>3</v>
      </c>
      <c r="DE255" t="s">
        <v>3</v>
      </c>
      <c r="DF255">
        <f>ROUND(ROUND(AE255,2)*CX255,2)</f>
        <v>0</v>
      </c>
      <c r="DG255">
        <f>ROUND(ROUND(AF255,2)*CX255,2)</f>
        <v>98.19</v>
      </c>
      <c r="DH255">
        <f>ROUND(ROUND(AG255,2)*CX255,2)</f>
        <v>0</v>
      </c>
      <c r="DI255">
        <f t="shared" si="92"/>
        <v>0</v>
      </c>
      <c r="DJ255">
        <f>DG255</f>
        <v>98.19</v>
      </c>
      <c r="DK255">
        <v>0</v>
      </c>
      <c r="DL255" t="s">
        <v>3</v>
      </c>
      <c r="DM255">
        <v>0</v>
      </c>
      <c r="DN255" t="s">
        <v>3</v>
      </c>
      <c r="DO255">
        <v>0</v>
      </c>
    </row>
    <row r="256" spans="1:119" x14ac:dyDescent="0.2">
      <c r="A256">
        <f>ROW(Source!A225)</f>
        <v>225</v>
      </c>
      <c r="B256">
        <v>53860087</v>
      </c>
      <c r="C256">
        <v>53860926</v>
      </c>
      <c r="D256">
        <v>29557700</v>
      </c>
      <c r="E256">
        <v>1</v>
      </c>
      <c r="F256">
        <v>1</v>
      </c>
      <c r="G256">
        <v>29506949</v>
      </c>
      <c r="H256">
        <v>3</v>
      </c>
      <c r="I256" t="s">
        <v>799</v>
      </c>
      <c r="J256" t="s">
        <v>800</v>
      </c>
      <c r="K256" t="s">
        <v>801</v>
      </c>
      <c r="L256">
        <v>1327</v>
      </c>
      <c r="N256">
        <v>1005</v>
      </c>
      <c r="O256" t="s">
        <v>100</v>
      </c>
      <c r="P256" t="s">
        <v>100</v>
      </c>
      <c r="Q256">
        <v>1</v>
      </c>
      <c r="W256">
        <v>0</v>
      </c>
      <c r="X256">
        <v>664294029</v>
      </c>
      <c r="Y256">
        <f>AT256</f>
        <v>105</v>
      </c>
      <c r="AA256">
        <v>8.8000000000000007</v>
      </c>
      <c r="AB256">
        <v>0</v>
      </c>
      <c r="AC256">
        <v>0</v>
      </c>
      <c r="AD256">
        <v>0</v>
      </c>
      <c r="AE256">
        <v>2.5499999999999998</v>
      </c>
      <c r="AF256">
        <v>0</v>
      </c>
      <c r="AG256">
        <v>0</v>
      </c>
      <c r="AH256">
        <v>0</v>
      </c>
      <c r="AI256">
        <v>3.45</v>
      </c>
      <c r="AJ256">
        <v>1</v>
      </c>
      <c r="AK256">
        <v>1</v>
      </c>
      <c r="AL256">
        <v>1</v>
      </c>
      <c r="AM256">
        <v>2</v>
      </c>
      <c r="AN256">
        <v>0</v>
      </c>
      <c r="AO256">
        <v>1</v>
      </c>
      <c r="AP256">
        <v>1</v>
      </c>
      <c r="AQ256">
        <v>0</v>
      </c>
      <c r="AR256">
        <v>0</v>
      </c>
      <c r="AS256" t="s">
        <v>3</v>
      </c>
      <c r="AT256">
        <v>105</v>
      </c>
      <c r="AU256" t="s">
        <v>3</v>
      </c>
      <c r="AV256">
        <v>0</v>
      </c>
      <c r="AW256">
        <v>2</v>
      </c>
      <c r="AX256">
        <v>53861380</v>
      </c>
      <c r="AY256">
        <v>1</v>
      </c>
      <c r="AZ256">
        <v>0</v>
      </c>
      <c r="BA256">
        <v>368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CV256">
        <v>0</v>
      </c>
      <c r="CW256">
        <v>0</v>
      </c>
      <c r="CX256">
        <f>ROUND(Y256*Source!I225,9)</f>
        <v>194.25</v>
      </c>
      <c r="CY256">
        <f>AA256</f>
        <v>8.8000000000000007</v>
      </c>
      <c r="CZ256">
        <f>AE256</f>
        <v>2.5499999999999998</v>
      </c>
      <c r="DA256">
        <f>AI256</f>
        <v>3.45</v>
      </c>
      <c r="DB256">
        <f>ROUND(ROUND(AT256*CZ256,2),6)</f>
        <v>267.75</v>
      </c>
      <c r="DC256">
        <f>ROUND(ROUND(AT256*AG256,2),6)</f>
        <v>0</v>
      </c>
      <c r="DD256" t="s">
        <v>3</v>
      </c>
      <c r="DE256" t="s">
        <v>3</v>
      </c>
      <c r="DF256">
        <f>ROUND(ROUND(AE256*AI256,2)*CX256,2)</f>
        <v>1709.4</v>
      </c>
      <c r="DG256">
        <f>ROUND(ROUND(AF256,2)*CX256,2)</f>
        <v>0</v>
      </c>
      <c r="DH256">
        <f>ROUND(ROUND(AG256,2)*CX256,2)</f>
        <v>0</v>
      </c>
      <c r="DI256">
        <f t="shared" si="92"/>
        <v>0</v>
      </c>
      <c r="DJ256">
        <f>DF256</f>
        <v>1709.4</v>
      </c>
      <c r="DK256">
        <v>0</v>
      </c>
      <c r="DL256" t="s">
        <v>3</v>
      </c>
      <c r="DM256">
        <v>0</v>
      </c>
      <c r="DN256" t="s">
        <v>3</v>
      </c>
      <c r="DO256">
        <v>0</v>
      </c>
    </row>
    <row r="257" spans="1:119" x14ac:dyDescent="0.2">
      <c r="A257">
        <f>ROW(Source!A225)</f>
        <v>225</v>
      </c>
      <c r="B257">
        <v>53860087</v>
      </c>
      <c r="C257">
        <v>53860926</v>
      </c>
      <c r="D257">
        <v>44623888</v>
      </c>
      <c r="E257">
        <v>1</v>
      </c>
      <c r="F257">
        <v>1</v>
      </c>
      <c r="G257">
        <v>29506949</v>
      </c>
      <c r="H257">
        <v>3</v>
      </c>
      <c r="I257" t="s">
        <v>500</v>
      </c>
      <c r="J257" t="s">
        <v>502</v>
      </c>
      <c r="K257" t="s">
        <v>501</v>
      </c>
      <c r="L257">
        <v>1327</v>
      </c>
      <c r="N257">
        <v>1005</v>
      </c>
      <c r="O257" t="s">
        <v>100</v>
      </c>
      <c r="P257" t="s">
        <v>100</v>
      </c>
      <c r="Q257">
        <v>1</v>
      </c>
      <c r="W257">
        <v>0</v>
      </c>
      <c r="X257">
        <v>975190431</v>
      </c>
      <c r="Y257">
        <f>AT257</f>
        <v>102.5</v>
      </c>
      <c r="AA257">
        <v>1118.45</v>
      </c>
      <c r="AB257">
        <v>0</v>
      </c>
      <c r="AC257">
        <v>0</v>
      </c>
      <c r="AD257">
        <v>0</v>
      </c>
      <c r="AE257">
        <v>458.38</v>
      </c>
      <c r="AF257">
        <v>0</v>
      </c>
      <c r="AG257">
        <v>0</v>
      </c>
      <c r="AH257">
        <v>0</v>
      </c>
      <c r="AI257">
        <v>2.44</v>
      </c>
      <c r="AJ257">
        <v>1</v>
      </c>
      <c r="AK257">
        <v>1</v>
      </c>
      <c r="AL257">
        <v>1</v>
      </c>
      <c r="AM257">
        <v>0</v>
      </c>
      <c r="AN257">
        <v>0</v>
      </c>
      <c r="AO257">
        <v>0</v>
      </c>
      <c r="AP257">
        <v>1</v>
      </c>
      <c r="AQ257">
        <v>0</v>
      </c>
      <c r="AR257">
        <v>0</v>
      </c>
      <c r="AS257" t="s">
        <v>3</v>
      </c>
      <c r="AT257">
        <v>102.5</v>
      </c>
      <c r="AU257" t="s">
        <v>3</v>
      </c>
      <c r="AV257">
        <v>0</v>
      </c>
      <c r="AW257">
        <v>1</v>
      </c>
      <c r="AX257">
        <v>-1</v>
      </c>
      <c r="AY257">
        <v>0</v>
      </c>
      <c r="AZ257">
        <v>0</v>
      </c>
      <c r="BA257" t="s">
        <v>3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CV257">
        <v>0</v>
      </c>
      <c r="CW257">
        <v>0</v>
      </c>
      <c r="CX257">
        <f>ROUND(Y257*Source!I225,9)</f>
        <v>189.625</v>
      </c>
      <c r="CY257">
        <f>AA257</f>
        <v>1118.45</v>
      </c>
      <c r="CZ257">
        <f>AE257</f>
        <v>458.38</v>
      </c>
      <c r="DA257">
        <f>AI257</f>
        <v>2.44</v>
      </c>
      <c r="DB257">
        <f>ROUND(ROUND(AT257*CZ257,2),6)</f>
        <v>46983.95</v>
      </c>
      <c r="DC257">
        <f>ROUND(ROUND(AT257*AG257,2),6)</f>
        <v>0</v>
      </c>
      <c r="DD257" t="s">
        <v>3</v>
      </c>
      <c r="DE257" t="s">
        <v>3</v>
      </c>
      <c r="DF257">
        <f>ROUND(ROUND(AE257*AI257,2)*CX257,2)</f>
        <v>212086.08</v>
      </c>
      <c r="DG257">
        <f>ROUND(ROUND(AF257,2)*CX257,2)</f>
        <v>0</v>
      </c>
      <c r="DH257">
        <f>ROUND(ROUND(AG257,2)*CX257,2)</f>
        <v>0</v>
      </c>
      <c r="DI257">
        <f t="shared" ref="DI257:DI320" si="103">ROUND(ROUND(AH257,2)*CX257,2)</f>
        <v>0</v>
      </c>
      <c r="DJ257">
        <f>DF257</f>
        <v>212086.08</v>
      </c>
      <c r="DK257">
        <v>0</v>
      </c>
      <c r="DL257" t="s">
        <v>3</v>
      </c>
      <c r="DM257">
        <v>0</v>
      </c>
      <c r="DN257" t="s">
        <v>3</v>
      </c>
      <c r="DO257">
        <v>0</v>
      </c>
    </row>
    <row r="258" spans="1:119" x14ac:dyDescent="0.2">
      <c r="A258">
        <f>ROW(Source!A227)</f>
        <v>227</v>
      </c>
      <c r="B258">
        <v>53860087</v>
      </c>
      <c r="C258">
        <v>53860938</v>
      </c>
      <c r="D258">
        <v>29506954</v>
      </c>
      <c r="E258">
        <v>29506949</v>
      </c>
      <c r="F258">
        <v>1</v>
      </c>
      <c r="G258">
        <v>29506949</v>
      </c>
      <c r="H258">
        <v>1</v>
      </c>
      <c r="I258" t="s">
        <v>638</v>
      </c>
      <c r="J258" t="s">
        <v>3</v>
      </c>
      <c r="K258" t="s">
        <v>639</v>
      </c>
      <c r="L258">
        <v>1191</v>
      </c>
      <c r="N258">
        <v>1013</v>
      </c>
      <c r="O258" t="s">
        <v>640</v>
      </c>
      <c r="P258" t="s">
        <v>640</v>
      </c>
      <c r="Q258">
        <v>1</v>
      </c>
      <c r="W258">
        <v>0</v>
      </c>
      <c r="X258">
        <v>476480486</v>
      </c>
      <c r="Y258">
        <f>(AT258*1.15)</f>
        <v>7.6589999999999998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1</v>
      </c>
      <c r="AJ258">
        <v>1</v>
      </c>
      <c r="AK258">
        <v>1</v>
      </c>
      <c r="AL258">
        <v>1</v>
      </c>
      <c r="AM258">
        <v>-2</v>
      </c>
      <c r="AN258">
        <v>0</v>
      </c>
      <c r="AO258">
        <v>1</v>
      </c>
      <c r="AP258">
        <v>1</v>
      </c>
      <c r="AQ258">
        <v>0</v>
      </c>
      <c r="AR258">
        <v>0</v>
      </c>
      <c r="AS258" t="s">
        <v>3</v>
      </c>
      <c r="AT258">
        <v>6.66</v>
      </c>
      <c r="AU258" t="s">
        <v>52</v>
      </c>
      <c r="AV258">
        <v>1</v>
      </c>
      <c r="AW258">
        <v>2</v>
      </c>
      <c r="AX258">
        <v>53861382</v>
      </c>
      <c r="AY258">
        <v>1</v>
      </c>
      <c r="AZ258">
        <v>0</v>
      </c>
      <c r="BA258">
        <v>370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CU258">
        <f>ROUND(AT258*Source!I227*AH258*AL258,2)</f>
        <v>0</v>
      </c>
      <c r="CV258">
        <f>ROUND(Y258*Source!I227,9)</f>
        <v>5.9740200000000003</v>
      </c>
      <c r="CW258">
        <v>0</v>
      </c>
      <c r="CX258">
        <f>ROUND(Y258*Source!I227,9)</f>
        <v>5.9740200000000003</v>
      </c>
      <c r="CY258">
        <f>AD258</f>
        <v>0</v>
      </c>
      <c r="CZ258">
        <f>AH258</f>
        <v>0</v>
      </c>
      <c r="DA258">
        <f>AL258</f>
        <v>1</v>
      </c>
      <c r="DB258">
        <f>ROUND((ROUND(AT258*CZ258,2)*1.15),6)</f>
        <v>0</v>
      </c>
      <c r="DC258">
        <f>ROUND((ROUND(AT258*AG258,2)*1.15),6)</f>
        <v>0</v>
      </c>
      <c r="DD258" t="s">
        <v>3</v>
      </c>
      <c r="DE258" t="s">
        <v>3</v>
      </c>
      <c r="DF258">
        <f>ROUND(ROUND(AE258,2)*CX258,2)</f>
        <v>0</v>
      </c>
      <c r="DG258">
        <f>ROUND(ROUND(AF258,2)*CX258,2)</f>
        <v>0</v>
      </c>
      <c r="DH258">
        <f>ROUND(ROUND(AG258,2)*CX258,2)</f>
        <v>0</v>
      </c>
      <c r="DI258">
        <f t="shared" si="103"/>
        <v>0</v>
      </c>
      <c r="DJ258">
        <f>DI258</f>
        <v>0</v>
      </c>
      <c r="DK258">
        <v>0</v>
      </c>
      <c r="DL258" t="s">
        <v>3</v>
      </c>
      <c r="DM258">
        <v>0</v>
      </c>
      <c r="DN258" t="s">
        <v>3</v>
      </c>
      <c r="DO258">
        <v>0</v>
      </c>
    </row>
    <row r="259" spans="1:119" x14ac:dyDescent="0.2">
      <c r="A259">
        <f>ROW(Source!A227)</f>
        <v>227</v>
      </c>
      <c r="B259">
        <v>53860087</v>
      </c>
      <c r="C259">
        <v>53860938</v>
      </c>
      <c r="D259">
        <v>29580491</v>
      </c>
      <c r="E259">
        <v>1</v>
      </c>
      <c r="F259">
        <v>1</v>
      </c>
      <c r="G259">
        <v>29506949</v>
      </c>
      <c r="H259">
        <v>2</v>
      </c>
      <c r="I259" t="s">
        <v>650</v>
      </c>
      <c r="J259" t="s">
        <v>651</v>
      </c>
      <c r="K259" t="s">
        <v>652</v>
      </c>
      <c r="L259">
        <v>1368</v>
      </c>
      <c r="N259">
        <v>1011</v>
      </c>
      <c r="O259" t="s">
        <v>647</v>
      </c>
      <c r="P259" t="s">
        <v>647</v>
      </c>
      <c r="Q259">
        <v>1</v>
      </c>
      <c r="W259">
        <v>0</v>
      </c>
      <c r="X259">
        <v>-1440889904</v>
      </c>
      <c r="Y259">
        <f>(AT259*1.25)</f>
        <v>3.7499999999999999E-2</v>
      </c>
      <c r="AA259">
        <v>0</v>
      </c>
      <c r="AB259">
        <v>1051.9000000000001</v>
      </c>
      <c r="AC259">
        <v>397.72</v>
      </c>
      <c r="AD259">
        <v>0</v>
      </c>
      <c r="AE259">
        <v>0</v>
      </c>
      <c r="AF259">
        <v>83.1</v>
      </c>
      <c r="AG259">
        <v>12.62</v>
      </c>
      <c r="AH259">
        <v>0</v>
      </c>
      <c r="AI259">
        <v>1</v>
      </c>
      <c r="AJ259">
        <v>12.09</v>
      </c>
      <c r="AK259">
        <v>30.1</v>
      </c>
      <c r="AL259">
        <v>1</v>
      </c>
      <c r="AM259">
        <v>2</v>
      </c>
      <c r="AN259">
        <v>0</v>
      </c>
      <c r="AO259">
        <v>1</v>
      </c>
      <c r="AP259">
        <v>1</v>
      </c>
      <c r="AQ259">
        <v>0</v>
      </c>
      <c r="AR259">
        <v>0</v>
      </c>
      <c r="AS259" t="s">
        <v>3</v>
      </c>
      <c r="AT259">
        <v>0.03</v>
      </c>
      <c r="AU259" t="s">
        <v>51</v>
      </c>
      <c r="AV259">
        <v>0</v>
      </c>
      <c r="AW259">
        <v>2</v>
      </c>
      <c r="AX259">
        <v>53861383</v>
      </c>
      <c r="AY259">
        <v>1</v>
      </c>
      <c r="AZ259">
        <v>0</v>
      </c>
      <c r="BA259">
        <v>371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CV259">
        <v>0</v>
      </c>
      <c r="CW259">
        <f>ROUND(Y259*Source!I227,9)</f>
        <v>2.9250000000000002E-2</v>
      </c>
      <c r="CX259">
        <f>ROUND(Y259*Source!I227,9)</f>
        <v>2.9250000000000002E-2</v>
      </c>
      <c r="CY259">
        <f>AB259</f>
        <v>1051.9000000000001</v>
      </c>
      <c r="CZ259">
        <f>AF259</f>
        <v>83.1</v>
      </c>
      <c r="DA259">
        <f>AJ259</f>
        <v>12.09</v>
      </c>
      <c r="DB259">
        <f>ROUND((ROUND(AT259*CZ259,2)*1.25),6)</f>
        <v>3.1124999999999998</v>
      </c>
      <c r="DC259">
        <f>ROUND((ROUND(AT259*AG259,2)*1.25),6)</f>
        <v>0.47499999999999998</v>
      </c>
      <c r="DD259" t="s">
        <v>3</v>
      </c>
      <c r="DE259" t="s">
        <v>3</v>
      </c>
      <c r="DF259">
        <f>ROUND(ROUND(AE259,2)*CX259,2)</f>
        <v>0</v>
      </c>
      <c r="DG259">
        <f>ROUND(ROUND(AF259*AJ259,2)*CX259,2)</f>
        <v>29.39</v>
      </c>
      <c r="DH259">
        <f>ROUND(ROUND(AG259*AK259,2)*CX259,2)</f>
        <v>11.11</v>
      </c>
      <c r="DI259">
        <f t="shared" si="103"/>
        <v>0</v>
      </c>
      <c r="DJ259">
        <f>DG259</f>
        <v>29.39</v>
      </c>
      <c r="DK259">
        <v>0</v>
      </c>
      <c r="DL259" t="s">
        <v>3</v>
      </c>
      <c r="DM259">
        <v>0</v>
      </c>
      <c r="DN259" t="s">
        <v>3</v>
      </c>
      <c r="DO259">
        <v>0</v>
      </c>
    </row>
    <row r="260" spans="1:119" x14ac:dyDescent="0.2">
      <c r="A260">
        <f>ROW(Source!A227)</f>
        <v>227</v>
      </c>
      <c r="B260">
        <v>53860087</v>
      </c>
      <c r="C260">
        <v>53860938</v>
      </c>
      <c r="D260">
        <v>29580613</v>
      </c>
      <c r="E260">
        <v>1</v>
      </c>
      <c r="F260">
        <v>1</v>
      </c>
      <c r="G260">
        <v>29506949</v>
      </c>
      <c r="H260">
        <v>2</v>
      </c>
      <c r="I260" t="s">
        <v>769</v>
      </c>
      <c r="J260" t="s">
        <v>770</v>
      </c>
      <c r="K260" t="s">
        <v>771</v>
      </c>
      <c r="L260">
        <v>1368</v>
      </c>
      <c r="N260">
        <v>1011</v>
      </c>
      <c r="O260" t="s">
        <v>647</v>
      </c>
      <c r="P260" t="s">
        <v>647</v>
      </c>
      <c r="Q260">
        <v>1</v>
      </c>
      <c r="W260">
        <v>0</v>
      </c>
      <c r="X260">
        <v>-694940319</v>
      </c>
      <c r="Y260">
        <f>(AT260*1.25)</f>
        <v>1.6625000000000001</v>
      </c>
      <c r="AA260">
        <v>0</v>
      </c>
      <c r="AB260">
        <v>7.06</v>
      </c>
      <c r="AC260">
        <v>0</v>
      </c>
      <c r="AD260">
        <v>0</v>
      </c>
      <c r="AE260">
        <v>0</v>
      </c>
      <c r="AF260">
        <v>0.8</v>
      </c>
      <c r="AG260">
        <v>0</v>
      </c>
      <c r="AH260">
        <v>0</v>
      </c>
      <c r="AI260">
        <v>1</v>
      </c>
      <c r="AJ260">
        <v>8.43</v>
      </c>
      <c r="AK260">
        <v>30.1</v>
      </c>
      <c r="AL260">
        <v>1</v>
      </c>
      <c r="AM260">
        <v>2</v>
      </c>
      <c r="AN260">
        <v>0</v>
      </c>
      <c r="AO260">
        <v>1</v>
      </c>
      <c r="AP260">
        <v>1</v>
      </c>
      <c r="AQ260">
        <v>0</v>
      </c>
      <c r="AR260">
        <v>0</v>
      </c>
      <c r="AS260" t="s">
        <v>3</v>
      </c>
      <c r="AT260">
        <v>1.33</v>
      </c>
      <c r="AU260" t="s">
        <v>51</v>
      </c>
      <c r="AV260">
        <v>0</v>
      </c>
      <c r="AW260">
        <v>2</v>
      </c>
      <c r="AX260">
        <v>53861384</v>
      </c>
      <c r="AY260">
        <v>1</v>
      </c>
      <c r="AZ260">
        <v>0</v>
      </c>
      <c r="BA260">
        <v>372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CV260">
        <v>0</v>
      </c>
      <c r="CW260">
        <f>ROUND(Y260*Source!I227,9)</f>
        <v>1.2967500000000001</v>
      </c>
      <c r="CX260">
        <f>ROUND(Y260*Source!I227,9)</f>
        <v>1.2967500000000001</v>
      </c>
      <c r="CY260">
        <f>AB260</f>
        <v>7.06</v>
      </c>
      <c r="CZ260">
        <f>AF260</f>
        <v>0.8</v>
      </c>
      <c r="DA260">
        <f>AJ260</f>
        <v>8.43</v>
      </c>
      <c r="DB260">
        <f>ROUND((ROUND(AT260*CZ260,2)*1.25),6)</f>
        <v>1.325</v>
      </c>
      <c r="DC260">
        <f>ROUND((ROUND(AT260*AG260,2)*1.25),6)</f>
        <v>0</v>
      </c>
      <c r="DD260" t="s">
        <v>3</v>
      </c>
      <c r="DE260" t="s">
        <v>3</v>
      </c>
      <c r="DF260">
        <f>ROUND(ROUND(AE260,2)*CX260,2)</f>
        <v>0</v>
      </c>
      <c r="DG260">
        <f>ROUND(ROUND(AF260*AJ260,2)*CX260,2)</f>
        <v>8.74</v>
      </c>
      <c r="DH260">
        <f>ROUND(ROUND(AG260*AK260,2)*CX260,2)</f>
        <v>0</v>
      </c>
      <c r="DI260">
        <f t="shared" si="103"/>
        <v>0</v>
      </c>
      <c r="DJ260">
        <f>DG260</f>
        <v>8.74</v>
      </c>
      <c r="DK260">
        <v>0</v>
      </c>
      <c r="DL260" t="s">
        <v>3</v>
      </c>
      <c r="DM260">
        <v>0</v>
      </c>
      <c r="DN260" t="s">
        <v>3</v>
      </c>
      <c r="DO260">
        <v>0</v>
      </c>
    </row>
    <row r="261" spans="1:119" x14ac:dyDescent="0.2">
      <c r="A261">
        <f>ROW(Source!A227)</f>
        <v>227</v>
      </c>
      <c r="B261">
        <v>53860087</v>
      </c>
      <c r="C261">
        <v>53860938</v>
      </c>
      <c r="D261">
        <v>29580571</v>
      </c>
      <c r="E261">
        <v>1</v>
      </c>
      <c r="F261">
        <v>1</v>
      </c>
      <c r="G261">
        <v>29506949</v>
      </c>
      <c r="H261">
        <v>2</v>
      </c>
      <c r="I261" t="s">
        <v>644</v>
      </c>
      <c r="J261" t="s">
        <v>645</v>
      </c>
      <c r="K261" t="s">
        <v>646</v>
      </c>
      <c r="L261">
        <v>1368</v>
      </c>
      <c r="N261">
        <v>1011</v>
      </c>
      <c r="O261" t="s">
        <v>647</v>
      </c>
      <c r="P261" t="s">
        <v>647</v>
      </c>
      <c r="Q261">
        <v>1</v>
      </c>
      <c r="W261">
        <v>0</v>
      </c>
      <c r="X261">
        <v>-2099052417</v>
      </c>
      <c r="Y261">
        <f>(AT261*1.25)</f>
        <v>2.5124999999999997</v>
      </c>
      <c r="AA261">
        <v>0</v>
      </c>
      <c r="AB261">
        <v>4.21</v>
      </c>
      <c r="AC261">
        <v>0</v>
      </c>
      <c r="AD261">
        <v>0</v>
      </c>
      <c r="AE261">
        <v>0</v>
      </c>
      <c r="AF261">
        <v>0.47</v>
      </c>
      <c r="AG261">
        <v>0</v>
      </c>
      <c r="AH261">
        <v>0</v>
      </c>
      <c r="AI261">
        <v>1</v>
      </c>
      <c r="AJ261">
        <v>8.5500000000000007</v>
      </c>
      <c r="AK261">
        <v>30.1</v>
      </c>
      <c r="AL261">
        <v>1</v>
      </c>
      <c r="AM261">
        <v>2</v>
      </c>
      <c r="AN261">
        <v>0</v>
      </c>
      <c r="AO261">
        <v>1</v>
      </c>
      <c r="AP261">
        <v>1</v>
      </c>
      <c r="AQ261">
        <v>0</v>
      </c>
      <c r="AR261">
        <v>0</v>
      </c>
      <c r="AS261" t="s">
        <v>3</v>
      </c>
      <c r="AT261">
        <v>2.0099999999999998</v>
      </c>
      <c r="AU261" t="s">
        <v>51</v>
      </c>
      <c r="AV261">
        <v>0</v>
      </c>
      <c r="AW261">
        <v>2</v>
      </c>
      <c r="AX261">
        <v>53861385</v>
      </c>
      <c r="AY261">
        <v>1</v>
      </c>
      <c r="AZ261">
        <v>0</v>
      </c>
      <c r="BA261">
        <v>373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CV261">
        <v>0</v>
      </c>
      <c r="CW261">
        <f>ROUND(Y261*Source!I227,9)</f>
        <v>1.9597500000000001</v>
      </c>
      <c r="CX261">
        <f>ROUND(Y261*Source!I227,9)</f>
        <v>1.9597500000000001</v>
      </c>
      <c r="CY261">
        <f>AB261</f>
        <v>4.21</v>
      </c>
      <c r="CZ261">
        <f>AF261</f>
        <v>0.47</v>
      </c>
      <c r="DA261">
        <f>AJ261</f>
        <v>8.5500000000000007</v>
      </c>
      <c r="DB261">
        <f>ROUND((ROUND(AT261*CZ261,2)*1.25),6)</f>
        <v>1.175</v>
      </c>
      <c r="DC261">
        <f>ROUND((ROUND(AT261*AG261,2)*1.25),6)</f>
        <v>0</v>
      </c>
      <c r="DD261" t="s">
        <v>3</v>
      </c>
      <c r="DE261" t="s">
        <v>3</v>
      </c>
      <c r="DF261">
        <f>ROUND(ROUND(AE261,2)*CX261,2)</f>
        <v>0</v>
      </c>
      <c r="DG261">
        <f>ROUND(ROUND(AF261*AJ261,2)*CX261,2)</f>
        <v>7.88</v>
      </c>
      <c r="DH261">
        <f>ROUND(ROUND(AG261*AK261,2)*CX261,2)</f>
        <v>0</v>
      </c>
      <c r="DI261">
        <f t="shared" si="103"/>
        <v>0</v>
      </c>
      <c r="DJ261">
        <f>DG261</f>
        <v>7.88</v>
      </c>
      <c r="DK261">
        <v>0</v>
      </c>
      <c r="DL261" t="s">
        <v>3</v>
      </c>
      <c r="DM261">
        <v>0</v>
      </c>
      <c r="DN261" t="s">
        <v>3</v>
      </c>
      <c r="DO261">
        <v>0</v>
      </c>
    </row>
    <row r="262" spans="1:119" x14ac:dyDescent="0.2">
      <c r="A262">
        <f>ROW(Source!A227)</f>
        <v>227</v>
      </c>
      <c r="B262">
        <v>53860087</v>
      </c>
      <c r="C262">
        <v>53860938</v>
      </c>
      <c r="D262">
        <v>29555761</v>
      </c>
      <c r="E262">
        <v>1</v>
      </c>
      <c r="F262">
        <v>1</v>
      </c>
      <c r="G262">
        <v>29506949</v>
      </c>
      <c r="H262">
        <v>3</v>
      </c>
      <c r="I262" t="s">
        <v>510</v>
      </c>
      <c r="J262" t="s">
        <v>512</v>
      </c>
      <c r="K262" t="s">
        <v>511</v>
      </c>
      <c r="L262">
        <v>1301</v>
      </c>
      <c r="N262">
        <v>1003</v>
      </c>
      <c r="O262" t="s">
        <v>125</v>
      </c>
      <c r="P262" t="s">
        <v>125</v>
      </c>
      <c r="Q262">
        <v>1</v>
      </c>
      <c r="W262">
        <v>0</v>
      </c>
      <c r="X262">
        <v>-246939821</v>
      </c>
      <c r="Y262">
        <f>AT262</f>
        <v>101</v>
      </c>
      <c r="AA262">
        <v>37.479999999999997</v>
      </c>
      <c r="AB262">
        <v>0</v>
      </c>
      <c r="AC262">
        <v>0</v>
      </c>
      <c r="AD262">
        <v>0</v>
      </c>
      <c r="AE262">
        <v>22.18</v>
      </c>
      <c r="AF262">
        <v>0</v>
      </c>
      <c r="AG262">
        <v>0</v>
      </c>
      <c r="AH262">
        <v>0</v>
      </c>
      <c r="AI262">
        <v>1.69</v>
      </c>
      <c r="AJ262">
        <v>1</v>
      </c>
      <c r="AK262">
        <v>1</v>
      </c>
      <c r="AL262">
        <v>1</v>
      </c>
      <c r="AM262">
        <v>0</v>
      </c>
      <c r="AN262">
        <v>0</v>
      </c>
      <c r="AO262">
        <v>0</v>
      </c>
      <c r="AP262">
        <v>1</v>
      </c>
      <c r="AQ262">
        <v>0</v>
      </c>
      <c r="AR262">
        <v>0</v>
      </c>
      <c r="AS262" t="s">
        <v>3</v>
      </c>
      <c r="AT262">
        <v>101</v>
      </c>
      <c r="AU262" t="s">
        <v>3</v>
      </c>
      <c r="AV262">
        <v>0</v>
      </c>
      <c r="AW262">
        <v>1</v>
      </c>
      <c r="AX262">
        <v>-1</v>
      </c>
      <c r="AY262">
        <v>0</v>
      </c>
      <c r="AZ262">
        <v>0</v>
      </c>
      <c r="BA262" t="s">
        <v>3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CV262">
        <v>0</v>
      </c>
      <c r="CW262">
        <v>0</v>
      </c>
      <c r="CX262">
        <f>ROUND(Y262*Source!I227,9)</f>
        <v>78.78</v>
      </c>
      <c r="CY262">
        <f>AA262</f>
        <v>37.479999999999997</v>
      </c>
      <c r="CZ262">
        <f>AE262</f>
        <v>22.18</v>
      </c>
      <c r="DA262">
        <f>AI262</f>
        <v>1.69</v>
      </c>
      <c r="DB262">
        <f>ROUND(ROUND(AT262*CZ262,2),6)</f>
        <v>2240.1799999999998</v>
      </c>
      <c r="DC262">
        <f>ROUND(ROUND(AT262*AG262,2),6)</f>
        <v>0</v>
      </c>
      <c r="DD262" t="s">
        <v>3</v>
      </c>
      <c r="DE262" t="s">
        <v>3</v>
      </c>
      <c r="DF262">
        <f>ROUND(ROUND(AE262*AI262,2)*CX262,2)</f>
        <v>2952.67</v>
      </c>
      <c r="DG262">
        <f>ROUND(ROUND(AF262,2)*CX262,2)</f>
        <v>0</v>
      </c>
      <c r="DH262">
        <f>ROUND(ROUND(AG262,2)*CX262,2)</f>
        <v>0</v>
      </c>
      <c r="DI262">
        <f t="shared" si="103"/>
        <v>0</v>
      </c>
      <c r="DJ262">
        <f>DF262</f>
        <v>2952.67</v>
      </c>
      <c r="DK262">
        <v>0</v>
      </c>
      <c r="DL262" t="s">
        <v>3</v>
      </c>
      <c r="DM262">
        <v>0</v>
      </c>
      <c r="DN262" t="s">
        <v>3</v>
      </c>
      <c r="DO262">
        <v>0</v>
      </c>
    </row>
    <row r="263" spans="1:119" x14ac:dyDescent="0.2">
      <c r="A263">
        <f>ROW(Source!A227)</f>
        <v>227</v>
      </c>
      <c r="B263">
        <v>53860087</v>
      </c>
      <c r="C263">
        <v>53860938</v>
      </c>
      <c r="D263">
        <v>29558747</v>
      </c>
      <c r="E263">
        <v>1</v>
      </c>
      <c r="F263">
        <v>1</v>
      </c>
      <c r="G263">
        <v>29506949</v>
      </c>
      <c r="H263">
        <v>3</v>
      </c>
      <c r="I263" t="s">
        <v>802</v>
      </c>
      <c r="J263" t="s">
        <v>803</v>
      </c>
      <c r="K263" t="s">
        <v>804</v>
      </c>
      <c r="L263">
        <v>1355</v>
      </c>
      <c r="N263">
        <v>1010</v>
      </c>
      <c r="O263" t="s">
        <v>129</v>
      </c>
      <c r="P263" t="s">
        <v>129</v>
      </c>
      <c r="Q263">
        <v>100</v>
      </c>
      <c r="W263">
        <v>0</v>
      </c>
      <c r="X263">
        <v>201071863</v>
      </c>
      <c r="Y263">
        <f>AT263</f>
        <v>2.63</v>
      </c>
      <c r="AA263">
        <v>146.33000000000001</v>
      </c>
      <c r="AB263">
        <v>0</v>
      </c>
      <c r="AC263">
        <v>0</v>
      </c>
      <c r="AD263">
        <v>0</v>
      </c>
      <c r="AE263">
        <v>64.180000000000007</v>
      </c>
      <c r="AF263">
        <v>0</v>
      </c>
      <c r="AG263">
        <v>0</v>
      </c>
      <c r="AH263">
        <v>0</v>
      </c>
      <c r="AI263">
        <v>2.2799999999999998</v>
      </c>
      <c r="AJ263">
        <v>1</v>
      </c>
      <c r="AK263">
        <v>1</v>
      </c>
      <c r="AL263">
        <v>1</v>
      </c>
      <c r="AM263">
        <v>2</v>
      </c>
      <c r="AN263">
        <v>0</v>
      </c>
      <c r="AO263">
        <v>1</v>
      </c>
      <c r="AP263">
        <v>1</v>
      </c>
      <c r="AQ263">
        <v>0</v>
      </c>
      <c r="AR263">
        <v>0</v>
      </c>
      <c r="AS263" t="s">
        <v>3</v>
      </c>
      <c r="AT263">
        <v>2.63</v>
      </c>
      <c r="AU263" t="s">
        <v>3</v>
      </c>
      <c r="AV263">
        <v>0</v>
      </c>
      <c r="AW263">
        <v>2</v>
      </c>
      <c r="AX263">
        <v>53861386</v>
      </c>
      <c r="AY263">
        <v>1</v>
      </c>
      <c r="AZ263">
        <v>0</v>
      </c>
      <c r="BA263">
        <v>374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CV263">
        <v>0</v>
      </c>
      <c r="CW263">
        <v>0</v>
      </c>
      <c r="CX263">
        <f>ROUND(Y263*Source!I227,9)</f>
        <v>2.0514000000000001</v>
      </c>
      <c r="CY263">
        <f>AA263</f>
        <v>146.33000000000001</v>
      </c>
      <c r="CZ263">
        <f>AE263</f>
        <v>64.180000000000007</v>
      </c>
      <c r="DA263">
        <f>AI263</f>
        <v>2.2799999999999998</v>
      </c>
      <c r="DB263">
        <f>ROUND(ROUND(AT263*CZ263,2),6)</f>
        <v>168.79</v>
      </c>
      <c r="DC263">
        <f>ROUND(ROUND(AT263*AG263,2),6)</f>
        <v>0</v>
      </c>
      <c r="DD263" t="s">
        <v>3</v>
      </c>
      <c r="DE263" t="s">
        <v>3</v>
      </c>
      <c r="DF263">
        <f>ROUND(ROUND(AE263*AI263,2)*CX263,2)</f>
        <v>300.18</v>
      </c>
      <c r="DG263">
        <f>ROUND(ROUND(AF263,2)*CX263,2)</f>
        <v>0</v>
      </c>
      <c r="DH263">
        <f>ROUND(ROUND(AG263,2)*CX263,2)</f>
        <v>0</v>
      </c>
      <c r="DI263">
        <f t="shared" si="103"/>
        <v>0</v>
      </c>
      <c r="DJ263">
        <f>DF263</f>
        <v>300.18</v>
      </c>
      <c r="DK263">
        <v>0</v>
      </c>
      <c r="DL263" t="s">
        <v>3</v>
      </c>
      <c r="DM263">
        <v>0</v>
      </c>
      <c r="DN263" t="s">
        <v>3</v>
      </c>
      <c r="DO263">
        <v>0</v>
      </c>
    </row>
    <row r="264" spans="1:119" x14ac:dyDescent="0.2">
      <c r="A264">
        <f>ROW(Source!A227)</f>
        <v>227</v>
      </c>
      <c r="B264">
        <v>53860087</v>
      </c>
      <c r="C264">
        <v>53860938</v>
      </c>
      <c r="D264">
        <v>29558767</v>
      </c>
      <c r="E264">
        <v>1</v>
      </c>
      <c r="F264">
        <v>1</v>
      </c>
      <c r="G264">
        <v>29506949</v>
      </c>
      <c r="H264">
        <v>3</v>
      </c>
      <c r="I264" t="s">
        <v>805</v>
      </c>
      <c r="J264" t="s">
        <v>806</v>
      </c>
      <c r="K264" t="s">
        <v>807</v>
      </c>
      <c r="L264">
        <v>1355</v>
      </c>
      <c r="N264">
        <v>1010</v>
      </c>
      <c r="O264" t="s">
        <v>129</v>
      </c>
      <c r="P264" t="s">
        <v>129</v>
      </c>
      <c r="Q264">
        <v>100</v>
      </c>
      <c r="W264">
        <v>0</v>
      </c>
      <c r="X264">
        <v>251827612</v>
      </c>
      <c r="Y264">
        <f>AT264</f>
        <v>2.63</v>
      </c>
      <c r="AA264">
        <v>20.67</v>
      </c>
      <c r="AB264">
        <v>0</v>
      </c>
      <c r="AC264">
        <v>0</v>
      </c>
      <c r="AD264">
        <v>0</v>
      </c>
      <c r="AE264">
        <v>10.6</v>
      </c>
      <c r="AF264">
        <v>0</v>
      </c>
      <c r="AG264">
        <v>0</v>
      </c>
      <c r="AH264">
        <v>0</v>
      </c>
      <c r="AI264">
        <v>1.95</v>
      </c>
      <c r="AJ264">
        <v>1</v>
      </c>
      <c r="AK264">
        <v>1</v>
      </c>
      <c r="AL264">
        <v>1</v>
      </c>
      <c r="AM264">
        <v>2</v>
      </c>
      <c r="AN264">
        <v>0</v>
      </c>
      <c r="AO264">
        <v>1</v>
      </c>
      <c r="AP264">
        <v>1</v>
      </c>
      <c r="AQ264">
        <v>0</v>
      </c>
      <c r="AR264">
        <v>0</v>
      </c>
      <c r="AS264" t="s">
        <v>3</v>
      </c>
      <c r="AT264">
        <v>2.63</v>
      </c>
      <c r="AU264" t="s">
        <v>3</v>
      </c>
      <c r="AV264">
        <v>0</v>
      </c>
      <c r="AW264">
        <v>2</v>
      </c>
      <c r="AX264">
        <v>53861387</v>
      </c>
      <c r="AY264">
        <v>1</v>
      </c>
      <c r="AZ264">
        <v>0</v>
      </c>
      <c r="BA264">
        <v>375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CV264">
        <v>0</v>
      </c>
      <c r="CW264">
        <v>0</v>
      </c>
      <c r="CX264">
        <f>ROUND(Y264*Source!I227,9)</f>
        <v>2.0514000000000001</v>
      </c>
      <c r="CY264">
        <f>AA264</f>
        <v>20.67</v>
      </c>
      <c r="CZ264">
        <f>AE264</f>
        <v>10.6</v>
      </c>
      <c r="DA264">
        <f>AI264</f>
        <v>1.95</v>
      </c>
      <c r="DB264">
        <f>ROUND(ROUND(AT264*CZ264,2),6)</f>
        <v>27.88</v>
      </c>
      <c r="DC264">
        <f>ROUND(ROUND(AT264*AG264,2),6)</f>
        <v>0</v>
      </c>
      <c r="DD264" t="s">
        <v>3</v>
      </c>
      <c r="DE264" t="s">
        <v>3</v>
      </c>
      <c r="DF264">
        <f>ROUND(ROUND(AE264*AI264,2)*CX264,2)</f>
        <v>42.4</v>
      </c>
      <c r="DG264">
        <f>ROUND(ROUND(AF264,2)*CX264,2)</f>
        <v>0</v>
      </c>
      <c r="DH264">
        <f>ROUND(ROUND(AG264,2)*CX264,2)</f>
        <v>0</v>
      </c>
      <c r="DI264">
        <f t="shared" si="103"/>
        <v>0</v>
      </c>
      <c r="DJ264">
        <f>DF264</f>
        <v>42.4</v>
      </c>
      <c r="DK264">
        <v>0</v>
      </c>
      <c r="DL264" t="s">
        <v>3</v>
      </c>
      <c r="DM264">
        <v>0</v>
      </c>
      <c r="DN264" t="s">
        <v>3</v>
      </c>
      <c r="DO264">
        <v>0</v>
      </c>
    </row>
    <row r="265" spans="1:119" x14ac:dyDescent="0.2">
      <c r="A265">
        <f>ROW(Source!A229)</f>
        <v>229</v>
      </c>
      <c r="B265">
        <v>53860087</v>
      </c>
      <c r="C265">
        <v>53860955</v>
      </c>
      <c r="D265">
        <v>29506954</v>
      </c>
      <c r="E265">
        <v>29506949</v>
      </c>
      <c r="F265">
        <v>1</v>
      </c>
      <c r="G265">
        <v>29506949</v>
      </c>
      <c r="H265">
        <v>1</v>
      </c>
      <c r="I265" t="s">
        <v>638</v>
      </c>
      <c r="J265" t="s">
        <v>3</v>
      </c>
      <c r="K265" t="s">
        <v>639</v>
      </c>
      <c r="L265">
        <v>1191</v>
      </c>
      <c r="N265">
        <v>1013</v>
      </c>
      <c r="O265" t="s">
        <v>640</v>
      </c>
      <c r="P265" t="s">
        <v>640</v>
      </c>
      <c r="Q265">
        <v>1</v>
      </c>
      <c r="W265">
        <v>0</v>
      </c>
      <c r="X265">
        <v>476480486</v>
      </c>
      <c r="Y265">
        <f>(AT265*1.15)</f>
        <v>19.135999999999999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1</v>
      </c>
      <c r="AJ265">
        <v>1</v>
      </c>
      <c r="AK265">
        <v>1</v>
      </c>
      <c r="AL265">
        <v>1</v>
      </c>
      <c r="AM265">
        <v>-2</v>
      </c>
      <c r="AN265">
        <v>0</v>
      </c>
      <c r="AO265">
        <v>1</v>
      </c>
      <c r="AP265">
        <v>1</v>
      </c>
      <c r="AQ265">
        <v>0</v>
      </c>
      <c r="AR265">
        <v>0</v>
      </c>
      <c r="AS265" t="s">
        <v>3</v>
      </c>
      <c r="AT265">
        <v>16.64</v>
      </c>
      <c r="AU265" t="s">
        <v>52</v>
      </c>
      <c r="AV265">
        <v>1</v>
      </c>
      <c r="AW265">
        <v>2</v>
      </c>
      <c r="AX265">
        <v>53861390</v>
      </c>
      <c r="AY265">
        <v>1</v>
      </c>
      <c r="AZ265">
        <v>0</v>
      </c>
      <c r="BA265">
        <v>378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CU265">
        <f>ROUND(AT265*Source!I229*AH265*AL265,2)</f>
        <v>0</v>
      </c>
      <c r="CV265">
        <f>ROUND(Y265*Source!I229,9)</f>
        <v>0.38272</v>
      </c>
      <c r="CW265">
        <v>0</v>
      </c>
      <c r="CX265">
        <f>ROUND(Y265*Source!I229,9)</f>
        <v>0.38272</v>
      </c>
      <c r="CY265">
        <f>AD265</f>
        <v>0</v>
      </c>
      <c r="CZ265">
        <f>AH265</f>
        <v>0</v>
      </c>
      <c r="DA265">
        <f>AL265</f>
        <v>1</v>
      </c>
      <c r="DB265">
        <f>ROUND((ROUND(AT265*CZ265,2)*1.15),6)</f>
        <v>0</v>
      </c>
      <c r="DC265">
        <f>ROUND((ROUND(AT265*AG265,2)*1.15),6)</f>
        <v>0</v>
      </c>
      <c r="DD265" t="s">
        <v>3</v>
      </c>
      <c r="DE265" t="s">
        <v>3</v>
      </c>
      <c r="DF265">
        <f>ROUND(ROUND(AE265,2)*CX265,2)</f>
        <v>0</v>
      </c>
      <c r="DG265">
        <f>ROUND(ROUND(AF265,2)*CX265,2)</f>
        <v>0</v>
      </c>
      <c r="DH265">
        <f>ROUND(ROUND(AG265,2)*CX265,2)</f>
        <v>0</v>
      </c>
      <c r="DI265">
        <f t="shared" si="103"/>
        <v>0</v>
      </c>
      <c r="DJ265">
        <f>DI265</f>
        <v>0</v>
      </c>
      <c r="DK265">
        <v>0</v>
      </c>
      <c r="DL265" t="s">
        <v>3</v>
      </c>
      <c r="DM265">
        <v>0</v>
      </c>
      <c r="DN265" t="s">
        <v>3</v>
      </c>
      <c r="DO265">
        <v>0</v>
      </c>
    </row>
    <row r="266" spans="1:119" x14ac:dyDescent="0.2">
      <c r="A266">
        <f>ROW(Source!A229)</f>
        <v>229</v>
      </c>
      <c r="B266">
        <v>53860087</v>
      </c>
      <c r="C266">
        <v>53860955</v>
      </c>
      <c r="D266">
        <v>29580613</v>
      </c>
      <c r="E266">
        <v>1</v>
      </c>
      <c r="F266">
        <v>1</v>
      </c>
      <c r="G266">
        <v>29506949</v>
      </c>
      <c r="H266">
        <v>2</v>
      </c>
      <c r="I266" t="s">
        <v>769</v>
      </c>
      <c r="J266" t="s">
        <v>770</v>
      </c>
      <c r="K266" t="s">
        <v>771</v>
      </c>
      <c r="L266">
        <v>1368</v>
      </c>
      <c r="N266">
        <v>1011</v>
      </c>
      <c r="O266" t="s">
        <v>647</v>
      </c>
      <c r="P266" t="s">
        <v>647</v>
      </c>
      <c r="Q266">
        <v>1</v>
      </c>
      <c r="W266">
        <v>0</v>
      </c>
      <c r="X266">
        <v>-694940319</v>
      </c>
      <c r="Y266">
        <f>(AT266*1.25)</f>
        <v>5.3624999999999998</v>
      </c>
      <c r="AA266">
        <v>0</v>
      </c>
      <c r="AB266">
        <v>7.06</v>
      </c>
      <c r="AC266">
        <v>0</v>
      </c>
      <c r="AD266">
        <v>0</v>
      </c>
      <c r="AE266">
        <v>0</v>
      </c>
      <c r="AF266">
        <v>0.8</v>
      </c>
      <c r="AG266">
        <v>0</v>
      </c>
      <c r="AH266">
        <v>0</v>
      </c>
      <c r="AI266">
        <v>1</v>
      </c>
      <c r="AJ266">
        <v>8.43</v>
      </c>
      <c r="AK266">
        <v>30.1</v>
      </c>
      <c r="AL266">
        <v>1</v>
      </c>
      <c r="AM266">
        <v>2</v>
      </c>
      <c r="AN266">
        <v>0</v>
      </c>
      <c r="AO266">
        <v>1</v>
      </c>
      <c r="AP266">
        <v>1</v>
      </c>
      <c r="AQ266">
        <v>0</v>
      </c>
      <c r="AR266">
        <v>0</v>
      </c>
      <c r="AS266" t="s">
        <v>3</v>
      </c>
      <c r="AT266">
        <v>4.29</v>
      </c>
      <c r="AU266" t="s">
        <v>51</v>
      </c>
      <c r="AV266">
        <v>0</v>
      </c>
      <c r="AW266">
        <v>2</v>
      </c>
      <c r="AX266">
        <v>53861392</v>
      </c>
      <c r="AY266">
        <v>1</v>
      </c>
      <c r="AZ266">
        <v>0</v>
      </c>
      <c r="BA266">
        <v>380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CV266">
        <v>0</v>
      </c>
      <c r="CW266">
        <f>ROUND(Y266*Source!I229,9)</f>
        <v>0.10725</v>
      </c>
      <c r="CX266">
        <f>ROUND(Y266*Source!I229,9)</f>
        <v>0.10725</v>
      </c>
      <c r="CY266">
        <f>AB266</f>
        <v>7.06</v>
      </c>
      <c r="CZ266">
        <f>AF266</f>
        <v>0.8</v>
      </c>
      <c r="DA266">
        <f>AJ266</f>
        <v>8.43</v>
      </c>
      <c r="DB266">
        <f>ROUND((ROUND(AT266*CZ266,2)*1.25),6)</f>
        <v>4.2874999999999996</v>
      </c>
      <c r="DC266">
        <f>ROUND((ROUND(AT266*AG266,2)*1.25),6)</f>
        <v>0</v>
      </c>
      <c r="DD266" t="s">
        <v>3</v>
      </c>
      <c r="DE266" t="s">
        <v>3</v>
      </c>
      <c r="DF266">
        <f>ROUND(ROUND(AE266,2)*CX266,2)</f>
        <v>0</v>
      </c>
      <c r="DG266">
        <f>ROUND(ROUND(AF266*AJ266,2)*CX266,2)</f>
        <v>0.72</v>
      </c>
      <c r="DH266">
        <f>ROUND(ROUND(AG266*AK266,2)*CX266,2)</f>
        <v>0</v>
      </c>
      <c r="DI266">
        <f t="shared" si="103"/>
        <v>0</v>
      </c>
      <c r="DJ266">
        <f>DG266</f>
        <v>0.72</v>
      </c>
      <c r="DK266">
        <v>0</v>
      </c>
      <c r="DL266" t="s">
        <v>3</v>
      </c>
      <c r="DM266">
        <v>0</v>
      </c>
      <c r="DN266" t="s">
        <v>3</v>
      </c>
      <c r="DO266">
        <v>0</v>
      </c>
    </row>
    <row r="267" spans="1:119" x14ac:dyDescent="0.2">
      <c r="A267">
        <f>ROW(Source!A229)</f>
        <v>229</v>
      </c>
      <c r="B267">
        <v>53860087</v>
      </c>
      <c r="C267">
        <v>53860955</v>
      </c>
      <c r="D267">
        <v>29580545</v>
      </c>
      <c r="E267">
        <v>1</v>
      </c>
      <c r="F267">
        <v>1</v>
      </c>
      <c r="G267">
        <v>29506949</v>
      </c>
      <c r="H267">
        <v>2</v>
      </c>
      <c r="I267" t="s">
        <v>796</v>
      </c>
      <c r="J267" t="s">
        <v>797</v>
      </c>
      <c r="K267" t="s">
        <v>798</v>
      </c>
      <c r="L267">
        <v>1368</v>
      </c>
      <c r="N267">
        <v>1011</v>
      </c>
      <c r="O267" t="s">
        <v>647</v>
      </c>
      <c r="P267" t="s">
        <v>647</v>
      </c>
      <c r="Q267">
        <v>1</v>
      </c>
      <c r="W267">
        <v>0</v>
      </c>
      <c r="X267">
        <v>-1229299003</v>
      </c>
      <c r="Y267">
        <f>(AT267*1.25)</f>
        <v>0.44999999999999996</v>
      </c>
      <c r="AA267">
        <v>0</v>
      </c>
      <c r="AB267">
        <v>3.34</v>
      </c>
      <c r="AC267">
        <v>0</v>
      </c>
      <c r="AD267">
        <v>0</v>
      </c>
      <c r="AE267">
        <v>0</v>
      </c>
      <c r="AF267">
        <v>0.36</v>
      </c>
      <c r="AG267">
        <v>0</v>
      </c>
      <c r="AH267">
        <v>0</v>
      </c>
      <c r="AI267">
        <v>1</v>
      </c>
      <c r="AJ267">
        <v>8.86</v>
      </c>
      <c r="AK267">
        <v>30.1</v>
      </c>
      <c r="AL267">
        <v>1</v>
      </c>
      <c r="AM267">
        <v>2</v>
      </c>
      <c r="AN267">
        <v>0</v>
      </c>
      <c r="AO267">
        <v>1</v>
      </c>
      <c r="AP267">
        <v>1</v>
      </c>
      <c r="AQ267">
        <v>0</v>
      </c>
      <c r="AR267">
        <v>0</v>
      </c>
      <c r="AS267" t="s">
        <v>3</v>
      </c>
      <c r="AT267">
        <v>0.36</v>
      </c>
      <c r="AU267" t="s">
        <v>51</v>
      </c>
      <c r="AV267">
        <v>0</v>
      </c>
      <c r="AW267">
        <v>2</v>
      </c>
      <c r="AX267">
        <v>53861393</v>
      </c>
      <c r="AY267">
        <v>1</v>
      </c>
      <c r="AZ267">
        <v>0</v>
      </c>
      <c r="BA267">
        <v>381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CV267">
        <v>0</v>
      </c>
      <c r="CW267">
        <f>ROUND(Y267*Source!I229,9)</f>
        <v>8.9999999999999993E-3</v>
      </c>
      <c r="CX267">
        <f>ROUND(Y267*Source!I229,9)</f>
        <v>8.9999999999999993E-3</v>
      </c>
      <c r="CY267">
        <f>AB267</f>
        <v>3.34</v>
      </c>
      <c r="CZ267">
        <f>AF267</f>
        <v>0.36</v>
      </c>
      <c r="DA267">
        <f>AJ267</f>
        <v>8.86</v>
      </c>
      <c r="DB267">
        <f>ROUND((ROUND(AT267*CZ267,2)*1.25),6)</f>
        <v>0.16250000000000001</v>
      </c>
      <c r="DC267">
        <f>ROUND((ROUND(AT267*AG267,2)*1.25),6)</f>
        <v>0</v>
      </c>
      <c r="DD267" t="s">
        <v>3</v>
      </c>
      <c r="DE267" t="s">
        <v>3</v>
      </c>
      <c r="DF267">
        <f>ROUND(ROUND(AE267,2)*CX267,2)</f>
        <v>0</v>
      </c>
      <c r="DG267">
        <f>ROUND(ROUND(AF267*AJ267,2)*CX267,2)</f>
        <v>0.03</v>
      </c>
      <c r="DH267">
        <f>ROUND(ROUND(AG267*AK267,2)*CX267,2)</f>
        <v>0</v>
      </c>
      <c r="DI267">
        <f t="shared" si="103"/>
        <v>0</v>
      </c>
      <c r="DJ267">
        <f>DG267</f>
        <v>0.03</v>
      </c>
      <c r="DK267">
        <v>0</v>
      </c>
      <c r="DL267" t="s">
        <v>3</v>
      </c>
      <c r="DM267">
        <v>0</v>
      </c>
      <c r="DN267" t="s">
        <v>3</v>
      </c>
      <c r="DO267">
        <v>0</v>
      </c>
    </row>
    <row r="268" spans="1:119" x14ac:dyDescent="0.2">
      <c r="A268">
        <f>ROW(Source!A229)</f>
        <v>229</v>
      </c>
      <c r="B268">
        <v>53860087</v>
      </c>
      <c r="C268">
        <v>53860955</v>
      </c>
      <c r="D268">
        <v>29580571</v>
      </c>
      <c r="E268">
        <v>1</v>
      </c>
      <c r="F268">
        <v>1</v>
      </c>
      <c r="G268">
        <v>29506949</v>
      </c>
      <c r="H268">
        <v>2</v>
      </c>
      <c r="I268" t="s">
        <v>644</v>
      </c>
      <c r="J268" t="s">
        <v>645</v>
      </c>
      <c r="K268" t="s">
        <v>646</v>
      </c>
      <c r="L268">
        <v>1368</v>
      </c>
      <c r="N268">
        <v>1011</v>
      </c>
      <c r="O268" t="s">
        <v>647</v>
      </c>
      <c r="P268" t="s">
        <v>647</v>
      </c>
      <c r="Q268">
        <v>1</v>
      </c>
      <c r="W268">
        <v>0</v>
      </c>
      <c r="X268">
        <v>-2099052417</v>
      </c>
      <c r="Y268">
        <f>(AT268*1.25)</f>
        <v>7.3</v>
      </c>
      <c r="AA268">
        <v>0</v>
      </c>
      <c r="AB268">
        <v>4.21</v>
      </c>
      <c r="AC268">
        <v>0</v>
      </c>
      <c r="AD268">
        <v>0</v>
      </c>
      <c r="AE268">
        <v>0</v>
      </c>
      <c r="AF268">
        <v>0.47</v>
      </c>
      <c r="AG268">
        <v>0</v>
      </c>
      <c r="AH268">
        <v>0</v>
      </c>
      <c r="AI268">
        <v>1</v>
      </c>
      <c r="AJ268">
        <v>8.5500000000000007</v>
      </c>
      <c r="AK268">
        <v>30.1</v>
      </c>
      <c r="AL268">
        <v>1</v>
      </c>
      <c r="AM268">
        <v>2</v>
      </c>
      <c r="AN268">
        <v>0</v>
      </c>
      <c r="AO268">
        <v>1</v>
      </c>
      <c r="AP268">
        <v>1</v>
      </c>
      <c r="AQ268">
        <v>0</v>
      </c>
      <c r="AR268">
        <v>0</v>
      </c>
      <c r="AS268" t="s">
        <v>3</v>
      </c>
      <c r="AT268">
        <v>5.84</v>
      </c>
      <c r="AU268" t="s">
        <v>51</v>
      </c>
      <c r="AV268">
        <v>0</v>
      </c>
      <c r="AW268">
        <v>2</v>
      </c>
      <c r="AX268">
        <v>53861394</v>
      </c>
      <c r="AY268">
        <v>1</v>
      </c>
      <c r="AZ268">
        <v>0</v>
      </c>
      <c r="BA268">
        <v>382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CV268">
        <v>0</v>
      </c>
      <c r="CW268">
        <f>ROUND(Y268*Source!I229,9)</f>
        <v>0.14599999999999999</v>
      </c>
      <c r="CX268">
        <f>ROUND(Y268*Source!I229,9)</f>
        <v>0.14599999999999999</v>
      </c>
      <c r="CY268">
        <f>AB268</f>
        <v>4.21</v>
      </c>
      <c r="CZ268">
        <f>AF268</f>
        <v>0.47</v>
      </c>
      <c r="DA268">
        <f>AJ268</f>
        <v>8.5500000000000007</v>
      </c>
      <c r="DB268">
        <f>ROUND((ROUND(AT268*CZ268,2)*1.25),6)</f>
        <v>3.4249999999999998</v>
      </c>
      <c r="DC268">
        <f>ROUND((ROUND(AT268*AG268,2)*1.25),6)</f>
        <v>0</v>
      </c>
      <c r="DD268" t="s">
        <v>3</v>
      </c>
      <c r="DE268" t="s">
        <v>3</v>
      </c>
      <c r="DF268">
        <f>ROUND(ROUND(AE268,2)*CX268,2)</f>
        <v>0</v>
      </c>
      <c r="DG268">
        <f>ROUND(ROUND(AF268*AJ268,2)*CX268,2)</f>
        <v>0.59</v>
      </c>
      <c r="DH268">
        <f>ROUND(ROUND(AG268*AK268,2)*CX268,2)</f>
        <v>0</v>
      </c>
      <c r="DI268">
        <f t="shared" si="103"/>
        <v>0</v>
      </c>
      <c r="DJ268">
        <f>DG268</f>
        <v>0.59</v>
      </c>
      <c r="DK268">
        <v>0</v>
      </c>
      <c r="DL268" t="s">
        <v>3</v>
      </c>
      <c r="DM268">
        <v>0</v>
      </c>
      <c r="DN268" t="s">
        <v>3</v>
      </c>
      <c r="DO268">
        <v>0</v>
      </c>
    </row>
    <row r="269" spans="1:119" x14ac:dyDescent="0.2">
      <c r="A269">
        <f>ROW(Source!A229)</f>
        <v>229</v>
      </c>
      <c r="B269">
        <v>53860087</v>
      </c>
      <c r="C269">
        <v>53860955</v>
      </c>
      <c r="D269">
        <v>29507683</v>
      </c>
      <c r="E269">
        <v>29506949</v>
      </c>
      <c r="F269">
        <v>1</v>
      </c>
      <c r="G269">
        <v>29506949</v>
      </c>
      <c r="H269">
        <v>2</v>
      </c>
      <c r="I269" t="s">
        <v>641</v>
      </c>
      <c r="J269" t="s">
        <v>3</v>
      </c>
      <c r="K269" t="s">
        <v>642</v>
      </c>
      <c r="L269">
        <v>1344</v>
      </c>
      <c r="N269">
        <v>1008</v>
      </c>
      <c r="O269" t="s">
        <v>643</v>
      </c>
      <c r="P269" t="s">
        <v>643</v>
      </c>
      <c r="Q269">
        <v>1</v>
      </c>
      <c r="W269">
        <v>0</v>
      </c>
      <c r="X269">
        <v>-1180195794</v>
      </c>
      <c r="Y269">
        <f>(AT269*1.25)</f>
        <v>0.6</v>
      </c>
      <c r="AA269">
        <v>0</v>
      </c>
      <c r="AB269">
        <v>1.05</v>
      </c>
      <c r="AC269">
        <v>0</v>
      </c>
      <c r="AD269">
        <v>0</v>
      </c>
      <c r="AE269">
        <v>0</v>
      </c>
      <c r="AF269">
        <v>1</v>
      </c>
      <c r="AG269">
        <v>0</v>
      </c>
      <c r="AH269">
        <v>0</v>
      </c>
      <c r="AI269">
        <v>1</v>
      </c>
      <c r="AJ269">
        <v>1</v>
      </c>
      <c r="AK269">
        <v>1</v>
      </c>
      <c r="AL269">
        <v>1</v>
      </c>
      <c r="AM269">
        <v>-2</v>
      </c>
      <c r="AN269">
        <v>0</v>
      </c>
      <c r="AO269">
        <v>1</v>
      </c>
      <c r="AP269">
        <v>1</v>
      </c>
      <c r="AQ269">
        <v>0</v>
      </c>
      <c r="AR269">
        <v>0</v>
      </c>
      <c r="AS269" t="s">
        <v>3</v>
      </c>
      <c r="AT269">
        <v>0.48</v>
      </c>
      <c r="AU269" t="s">
        <v>51</v>
      </c>
      <c r="AV269">
        <v>0</v>
      </c>
      <c r="AW269">
        <v>1</v>
      </c>
      <c r="AX269">
        <v>-1</v>
      </c>
      <c r="AY269">
        <v>0</v>
      </c>
      <c r="AZ269">
        <v>0</v>
      </c>
      <c r="BA269" t="s">
        <v>3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CV269">
        <v>0</v>
      </c>
      <c r="CW269">
        <f>ROUND(Y269*Source!I229,9)</f>
        <v>1.2E-2</v>
      </c>
      <c r="CX269">
        <f>ROUND(Y269*Source!I229,9)</f>
        <v>1.2E-2</v>
      </c>
      <c r="CY269">
        <f>AB269</f>
        <v>1.05</v>
      </c>
      <c r="CZ269">
        <f>AF269</f>
        <v>1</v>
      </c>
      <c r="DA269">
        <f>AJ269</f>
        <v>1</v>
      </c>
      <c r="DB269">
        <f>ROUND((ROUND(AT269*CZ269,2)*1.25),6)</f>
        <v>0.6</v>
      </c>
      <c r="DC269">
        <f>ROUND((ROUND(AT269*AG269,2)*1.25),6)</f>
        <v>0</v>
      </c>
      <c r="DD269" t="s">
        <v>3</v>
      </c>
      <c r="DE269" t="s">
        <v>3</v>
      </c>
      <c r="DF269">
        <f>ROUND(ROUND(AE269,2)*CX269,2)</f>
        <v>0</v>
      </c>
      <c r="DG269">
        <f>ROUND(ROUND(AF269,2)*CX269,2)</f>
        <v>0.01</v>
      </c>
      <c r="DH269">
        <f>ROUND(ROUND(AG269,2)*CX269,2)</f>
        <v>0</v>
      </c>
      <c r="DI269">
        <f t="shared" si="103"/>
        <v>0</v>
      </c>
      <c r="DJ269">
        <f>DG269</f>
        <v>0.01</v>
      </c>
      <c r="DK269">
        <v>0</v>
      </c>
      <c r="DL269" t="s">
        <v>3</v>
      </c>
      <c r="DM269">
        <v>0</v>
      </c>
      <c r="DN269" t="s">
        <v>3</v>
      </c>
      <c r="DO269">
        <v>0</v>
      </c>
    </row>
    <row r="270" spans="1:119" x14ac:dyDescent="0.2">
      <c r="A270">
        <f>ROW(Source!A229)</f>
        <v>229</v>
      </c>
      <c r="B270">
        <v>53860087</v>
      </c>
      <c r="C270">
        <v>53860955</v>
      </c>
      <c r="D270">
        <v>29555596</v>
      </c>
      <c r="E270">
        <v>1</v>
      </c>
      <c r="F270">
        <v>1</v>
      </c>
      <c r="G270">
        <v>29506949</v>
      </c>
      <c r="H270">
        <v>3</v>
      </c>
      <c r="I270" t="s">
        <v>808</v>
      </c>
      <c r="J270" t="s">
        <v>809</v>
      </c>
      <c r="K270" t="s">
        <v>810</v>
      </c>
      <c r="L270">
        <v>1346</v>
      </c>
      <c r="N270">
        <v>1009</v>
      </c>
      <c r="O270" t="s">
        <v>58</v>
      </c>
      <c r="P270" t="s">
        <v>58</v>
      </c>
      <c r="Q270">
        <v>1</v>
      </c>
      <c r="W270">
        <v>0</v>
      </c>
      <c r="X270">
        <v>-476279016</v>
      </c>
      <c r="Y270">
        <f>AT270</f>
        <v>0.94</v>
      </c>
      <c r="AA270">
        <v>175.75</v>
      </c>
      <c r="AB270">
        <v>0</v>
      </c>
      <c r="AC270">
        <v>0</v>
      </c>
      <c r="AD270">
        <v>0</v>
      </c>
      <c r="AE270">
        <v>48.15</v>
      </c>
      <c r="AF270">
        <v>0</v>
      </c>
      <c r="AG270">
        <v>0</v>
      </c>
      <c r="AH270">
        <v>0</v>
      </c>
      <c r="AI270">
        <v>3.65</v>
      </c>
      <c r="AJ270">
        <v>1</v>
      </c>
      <c r="AK270">
        <v>1</v>
      </c>
      <c r="AL270">
        <v>1</v>
      </c>
      <c r="AM270">
        <v>2</v>
      </c>
      <c r="AN270">
        <v>0</v>
      </c>
      <c r="AO270">
        <v>1</v>
      </c>
      <c r="AP270">
        <v>1</v>
      </c>
      <c r="AQ270">
        <v>0</v>
      </c>
      <c r="AR270">
        <v>0</v>
      </c>
      <c r="AS270" t="s">
        <v>3</v>
      </c>
      <c r="AT270">
        <v>0.94</v>
      </c>
      <c r="AU270" t="s">
        <v>3</v>
      </c>
      <c r="AV270">
        <v>0</v>
      </c>
      <c r="AW270">
        <v>2</v>
      </c>
      <c r="AX270">
        <v>53861395</v>
      </c>
      <c r="AY270">
        <v>1</v>
      </c>
      <c r="AZ270">
        <v>0</v>
      </c>
      <c r="BA270">
        <v>383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CV270">
        <v>0</v>
      </c>
      <c r="CW270">
        <v>0</v>
      </c>
      <c r="CX270">
        <f>ROUND(Y270*Source!I229,9)</f>
        <v>1.8800000000000001E-2</v>
      </c>
      <c r="CY270">
        <f>AA270</f>
        <v>175.75</v>
      </c>
      <c r="CZ270">
        <f>AE270</f>
        <v>48.15</v>
      </c>
      <c r="DA270">
        <f>AI270</f>
        <v>3.65</v>
      </c>
      <c r="DB270">
        <f>ROUND(ROUND(AT270*CZ270,2),6)</f>
        <v>45.26</v>
      </c>
      <c r="DC270">
        <f>ROUND(ROUND(AT270*AG270,2),6)</f>
        <v>0</v>
      </c>
      <c r="DD270" t="s">
        <v>3</v>
      </c>
      <c r="DE270" t="s">
        <v>3</v>
      </c>
      <c r="DF270">
        <f>ROUND(ROUND(AE270*AI270,2)*CX270,2)</f>
        <v>3.3</v>
      </c>
      <c r="DG270">
        <f>ROUND(ROUND(AF270,2)*CX270,2)</f>
        <v>0</v>
      </c>
      <c r="DH270">
        <f>ROUND(ROUND(AG270,2)*CX270,2)</f>
        <v>0</v>
      </c>
      <c r="DI270">
        <f t="shared" si="103"/>
        <v>0</v>
      </c>
      <c r="DJ270">
        <f>DF270</f>
        <v>3.3</v>
      </c>
      <c r="DK270">
        <v>0</v>
      </c>
      <c r="DL270" t="s">
        <v>3</v>
      </c>
      <c r="DM270">
        <v>0</v>
      </c>
      <c r="DN270" t="s">
        <v>3</v>
      </c>
      <c r="DO270">
        <v>0</v>
      </c>
    </row>
    <row r="271" spans="1:119" x14ac:dyDescent="0.2">
      <c r="A271">
        <f>ROW(Source!A229)</f>
        <v>229</v>
      </c>
      <c r="B271">
        <v>53860087</v>
      </c>
      <c r="C271">
        <v>53860955</v>
      </c>
      <c r="D271">
        <v>33482090</v>
      </c>
      <c r="E271">
        <v>1</v>
      </c>
      <c r="F271">
        <v>1</v>
      </c>
      <c r="G271">
        <v>29506949</v>
      </c>
      <c r="H271">
        <v>3</v>
      </c>
      <c r="I271" t="s">
        <v>520</v>
      </c>
      <c r="J271" t="s">
        <v>522</v>
      </c>
      <c r="K271" t="s">
        <v>521</v>
      </c>
      <c r="L271">
        <v>1301</v>
      </c>
      <c r="N271">
        <v>1003</v>
      </c>
      <c r="O271" t="s">
        <v>125</v>
      </c>
      <c r="P271" t="s">
        <v>125</v>
      </c>
      <c r="Q271">
        <v>1</v>
      </c>
      <c r="W271">
        <v>0</v>
      </c>
      <c r="X271">
        <v>2063727956</v>
      </c>
      <c r="Y271">
        <f>AT271</f>
        <v>105</v>
      </c>
      <c r="AA271">
        <v>132.26</v>
      </c>
      <c r="AB271">
        <v>0</v>
      </c>
      <c r="AC271">
        <v>0</v>
      </c>
      <c r="AD271">
        <v>0</v>
      </c>
      <c r="AE271">
        <v>16.07</v>
      </c>
      <c r="AF271">
        <v>0</v>
      </c>
      <c r="AG271">
        <v>0</v>
      </c>
      <c r="AH271">
        <v>0</v>
      </c>
      <c r="AI271">
        <v>8.23</v>
      </c>
      <c r="AJ271">
        <v>1</v>
      </c>
      <c r="AK271">
        <v>1</v>
      </c>
      <c r="AL271">
        <v>1</v>
      </c>
      <c r="AM271">
        <v>0</v>
      </c>
      <c r="AN271">
        <v>0</v>
      </c>
      <c r="AO271">
        <v>0</v>
      </c>
      <c r="AP271">
        <v>1</v>
      </c>
      <c r="AQ271">
        <v>0</v>
      </c>
      <c r="AR271">
        <v>0</v>
      </c>
      <c r="AS271" t="s">
        <v>3</v>
      </c>
      <c r="AT271">
        <v>105</v>
      </c>
      <c r="AU271" t="s">
        <v>3</v>
      </c>
      <c r="AV271">
        <v>0</v>
      </c>
      <c r="AW271">
        <v>1</v>
      </c>
      <c r="AX271">
        <v>-1</v>
      </c>
      <c r="AY271">
        <v>0</v>
      </c>
      <c r="AZ271">
        <v>0</v>
      </c>
      <c r="BA271" t="s">
        <v>3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CV271">
        <v>0</v>
      </c>
      <c r="CW271">
        <v>0</v>
      </c>
      <c r="CX271">
        <f>ROUND(Y271*Source!I229,9)</f>
        <v>2.1</v>
      </c>
      <c r="CY271">
        <f>AA271</f>
        <v>132.26</v>
      </c>
      <c r="CZ271">
        <f>AE271</f>
        <v>16.07</v>
      </c>
      <c r="DA271">
        <f>AI271</f>
        <v>8.23</v>
      </c>
      <c r="DB271">
        <f>ROUND(ROUND(AT271*CZ271,2),6)</f>
        <v>1687.35</v>
      </c>
      <c r="DC271">
        <f>ROUND(ROUND(AT271*AG271,2),6)</f>
        <v>0</v>
      </c>
      <c r="DD271" t="s">
        <v>3</v>
      </c>
      <c r="DE271" t="s">
        <v>3</v>
      </c>
      <c r="DF271">
        <f>ROUND(ROUND(AE271*AI271,2)*CX271,2)</f>
        <v>277.75</v>
      </c>
      <c r="DG271">
        <f>ROUND(ROUND(AF271,2)*CX271,2)</f>
        <v>0</v>
      </c>
      <c r="DH271">
        <f>ROUND(ROUND(AG271,2)*CX271,2)</f>
        <v>0</v>
      </c>
      <c r="DI271">
        <f t="shared" si="103"/>
        <v>0</v>
      </c>
      <c r="DJ271">
        <f>DF271</f>
        <v>277.75</v>
      </c>
      <c r="DK271">
        <v>0</v>
      </c>
      <c r="DL271" t="s">
        <v>3</v>
      </c>
      <c r="DM271">
        <v>0</v>
      </c>
      <c r="DN271" t="s">
        <v>3</v>
      </c>
      <c r="DO271">
        <v>0</v>
      </c>
    </row>
    <row r="272" spans="1:119" x14ac:dyDescent="0.2">
      <c r="A272">
        <f>ROW(Source!A266)</f>
        <v>266</v>
      </c>
      <c r="B272">
        <v>53860087</v>
      </c>
      <c r="C272">
        <v>54021083</v>
      </c>
      <c r="D272">
        <v>29506954</v>
      </c>
      <c r="E272">
        <v>29506949</v>
      </c>
      <c r="F272">
        <v>1</v>
      </c>
      <c r="G272">
        <v>29506949</v>
      </c>
      <c r="H272">
        <v>1</v>
      </c>
      <c r="I272" t="s">
        <v>638</v>
      </c>
      <c r="J272" t="s">
        <v>3</v>
      </c>
      <c r="K272" t="s">
        <v>639</v>
      </c>
      <c r="L272">
        <v>1191</v>
      </c>
      <c r="N272">
        <v>1013</v>
      </c>
      <c r="O272" t="s">
        <v>640</v>
      </c>
      <c r="P272" t="s">
        <v>640</v>
      </c>
      <c r="Q272">
        <v>1</v>
      </c>
      <c r="W272">
        <v>0</v>
      </c>
      <c r="X272">
        <v>476480486</v>
      </c>
      <c r="Y272">
        <f>(AT272*0.6)</f>
        <v>33.707999999999998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1</v>
      </c>
      <c r="AJ272">
        <v>1</v>
      </c>
      <c r="AK272">
        <v>1</v>
      </c>
      <c r="AL272">
        <v>1</v>
      </c>
      <c r="AM272">
        <v>-2</v>
      </c>
      <c r="AN272">
        <v>0</v>
      </c>
      <c r="AO272">
        <v>1</v>
      </c>
      <c r="AP272">
        <v>1</v>
      </c>
      <c r="AQ272">
        <v>0</v>
      </c>
      <c r="AR272">
        <v>0</v>
      </c>
      <c r="AS272" t="s">
        <v>3</v>
      </c>
      <c r="AT272">
        <v>56.18</v>
      </c>
      <c r="AU272" t="s">
        <v>218</v>
      </c>
      <c r="AV272">
        <v>1</v>
      </c>
      <c r="AW272">
        <v>2</v>
      </c>
      <c r="AX272">
        <v>54021095</v>
      </c>
      <c r="AY272">
        <v>1</v>
      </c>
      <c r="AZ272">
        <v>0</v>
      </c>
      <c r="BA272">
        <v>385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CU272">
        <f>ROUND(AT272*Source!I266*AH272*AL272,2)</f>
        <v>0</v>
      </c>
      <c r="CV272">
        <f>ROUND(Y272*Source!I266,9)</f>
        <v>23.595600000000001</v>
      </c>
      <c r="CW272">
        <v>0</v>
      </c>
      <c r="CX272">
        <f>ROUND(Y272*Source!I266,9)</f>
        <v>23.595600000000001</v>
      </c>
      <c r="CY272">
        <f>AD272</f>
        <v>0</v>
      </c>
      <c r="CZ272">
        <f>AH272</f>
        <v>0</v>
      </c>
      <c r="DA272">
        <f>AL272</f>
        <v>1</v>
      </c>
      <c r="DB272">
        <f>ROUND((ROUND(AT272*CZ272,2)*0.6),6)</f>
        <v>0</v>
      </c>
      <c r="DC272">
        <f>ROUND((ROUND(AT272*AG272,2)*0.6),6)</f>
        <v>0</v>
      </c>
      <c r="DD272" t="s">
        <v>3</v>
      </c>
      <c r="DE272" t="s">
        <v>3</v>
      </c>
      <c r="DF272">
        <f>ROUND(ROUND(AE272,2)*CX272,2)</f>
        <v>0</v>
      </c>
      <c r="DG272">
        <f>ROUND(ROUND(AF272,2)*CX272,2)</f>
        <v>0</v>
      </c>
      <c r="DH272">
        <f>ROUND(ROUND(AG272,2)*CX272,2)</f>
        <v>0</v>
      </c>
      <c r="DI272">
        <f t="shared" si="103"/>
        <v>0</v>
      </c>
      <c r="DJ272">
        <f>DI272</f>
        <v>0</v>
      </c>
      <c r="DK272">
        <v>0</v>
      </c>
      <c r="DL272" t="s">
        <v>3</v>
      </c>
      <c r="DM272">
        <v>0</v>
      </c>
      <c r="DN272" t="s">
        <v>3</v>
      </c>
      <c r="DO272">
        <v>0</v>
      </c>
    </row>
    <row r="273" spans="1:119" x14ac:dyDescent="0.2">
      <c r="A273">
        <f>ROW(Source!A266)</f>
        <v>266</v>
      </c>
      <c r="B273">
        <v>53860087</v>
      </c>
      <c r="C273">
        <v>54021083</v>
      </c>
      <c r="D273">
        <v>29580491</v>
      </c>
      <c r="E273">
        <v>1</v>
      </c>
      <c r="F273">
        <v>1</v>
      </c>
      <c r="G273">
        <v>29506949</v>
      </c>
      <c r="H273">
        <v>2</v>
      </c>
      <c r="I273" t="s">
        <v>650</v>
      </c>
      <c r="J273" t="s">
        <v>651</v>
      </c>
      <c r="K273" t="s">
        <v>652</v>
      </c>
      <c r="L273">
        <v>1368</v>
      </c>
      <c r="N273">
        <v>1011</v>
      </c>
      <c r="O273" t="s">
        <v>647</v>
      </c>
      <c r="P273" t="s">
        <v>647</v>
      </c>
      <c r="Q273">
        <v>1</v>
      </c>
      <c r="W273">
        <v>0</v>
      </c>
      <c r="X273">
        <v>-1440889904</v>
      </c>
      <c r="Y273">
        <f>(AT273*0.6)</f>
        <v>0.11399999999999999</v>
      </c>
      <c r="AA273">
        <v>0</v>
      </c>
      <c r="AB273">
        <v>1092.0899999999999</v>
      </c>
      <c r="AC273">
        <v>412.91</v>
      </c>
      <c r="AD273">
        <v>0</v>
      </c>
      <c r="AE273">
        <v>0</v>
      </c>
      <c r="AF273">
        <v>83.1</v>
      </c>
      <c r="AG273">
        <v>12.62</v>
      </c>
      <c r="AH273">
        <v>0</v>
      </c>
      <c r="AI273">
        <v>1</v>
      </c>
      <c r="AJ273">
        <v>12.09</v>
      </c>
      <c r="AK273">
        <v>30.1</v>
      </c>
      <c r="AL273">
        <v>1</v>
      </c>
      <c r="AM273">
        <v>2</v>
      </c>
      <c r="AN273">
        <v>0</v>
      </c>
      <c r="AO273">
        <v>1</v>
      </c>
      <c r="AP273">
        <v>1</v>
      </c>
      <c r="AQ273">
        <v>0</v>
      </c>
      <c r="AR273">
        <v>0</v>
      </c>
      <c r="AS273" t="s">
        <v>3</v>
      </c>
      <c r="AT273">
        <v>0.19</v>
      </c>
      <c r="AU273" t="s">
        <v>218</v>
      </c>
      <c r="AV273">
        <v>0</v>
      </c>
      <c r="AW273">
        <v>2</v>
      </c>
      <c r="AX273">
        <v>54021096</v>
      </c>
      <c r="AY273">
        <v>1</v>
      </c>
      <c r="AZ273">
        <v>0</v>
      </c>
      <c r="BA273">
        <v>386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CV273">
        <v>0</v>
      </c>
      <c r="CW273">
        <f>ROUND(Y273*Source!I266,9)</f>
        <v>7.9799999999999996E-2</v>
      </c>
      <c r="CX273">
        <f>ROUND(Y273*Source!I266,9)</f>
        <v>7.9799999999999996E-2</v>
      </c>
      <c r="CY273">
        <f>AB273</f>
        <v>1092.0899999999999</v>
      </c>
      <c r="CZ273">
        <f>AF273</f>
        <v>83.1</v>
      </c>
      <c r="DA273">
        <f>AJ273</f>
        <v>12.09</v>
      </c>
      <c r="DB273">
        <f>ROUND((ROUND(AT273*CZ273,2)*0.6),6)</f>
        <v>9.4740000000000002</v>
      </c>
      <c r="DC273">
        <f>ROUND((ROUND(AT273*AG273,2)*0.6),6)</f>
        <v>1.44</v>
      </c>
      <c r="DD273" t="s">
        <v>3</v>
      </c>
      <c r="DE273" t="s">
        <v>3</v>
      </c>
      <c r="DF273">
        <f>ROUND(ROUND(AE273,2)*CX273,2)</f>
        <v>0</v>
      </c>
      <c r="DG273">
        <f>ROUND(ROUND(AF273*AJ273,2)*CX273,2)</f>
        <v>80.17</v>
      </c>
      <c r="DH273">
        <f>ROUND(ROUND(AG273*AK273,2)*CX273,2)</f>
        <v>30.31</v>
      </c>
      <c r="DI273">
        <f t="shared" si="103"/>
        <v>0</v>
      </c>
      <c r="DJ273">
        <f>DG273</f>
        <v>80.17</v>
      </c>
      <c r="DK273">
        <v>0</v>
      </c>
      <c r="DL273" t="s">
        <v>3</v>
      </c>
      <c r="DM273">
        <v>0</v>
      </c>
      <c r="DN273" t="s">
        <v>3</v>
      </c>
      <c r="DO273">
        <v>0</v>
      </c>
    </row>
    <row r="274" spans="1:119" x14ac:dyDescent="0.2">
      <c r="A274">
        <f>ROW(Source!A266)</f>
        <v>266</v>
      </c>
      <c r="B274">
        <v>53860087</v>
      </c>
      <c r="C274">
        <v>54021083</v>
      </c>
      <c r="D274">
        <v>29580614</v>
      </c>
      <c r="E274">
        <v>1</v>
      </c>
      <c r="F274">
        <v>1</v>
      </c>
      <c r="G274">
        <v>29506949</v>
      </c>
      <c r="H274">
        <v>2</v>
      </c>
      <c r="I274" t="s">
        <v>682</v>
      </c>
      <c r="J274" t="s">
        <v>683</v>
      </c>
      <c r="K274" t="s">
        <v>684</v>
      </c>
      <c r="L274">
        <v>1368</v>
      </c>
      <c r="N274">
        <v>1011</v>
      </c>
      <c r="O274" t="s">
        <v>647</v>
      </c>
      <c r="P274" t="s">
        <v>647</v>
      </c>
      <c r="Q274">
        <v>1</v>
      </c>
      <c r="W274">
        <v>0</v>
      </c>
      <c r="X274">
        <v>-798320174</v>
      </c>
      <c r="Y274">
        <f>(AT274*0.6)</f>
        <v>2.16</v>
      </c>
      <c r="AA274">
        <v>0</v>
      </c>
      <c r="AB274">
        <v>10.23</v>
      </c>
      <c r="AC274">
        <v>0</v>
      </c>
      <c r="AD274">
        <v>0</v>
      </c>
      <c r="AE274">
        <v>0</v>
      </c>
      <c r="AF274">
        <v>1.1100000000000001</v>
      </c>
      <c r="AG274">
        <v>0</v>
      </c>
      <c r="AH274">
        <v>0</v>
      </c>
      <c r="AI274">
        <v>1</v>
      </c>
      <c r="AJ274">
        <v>8.48</v>
      </c>
      <c r="AK274">
        <v>30.1</v>
      </c>
      <c r="AL274">
        <v>1</v>
      </c>
      <c r="AM274">
        <v>2</v>
      </c>
      <c r="AN274">
        <v>0</v>
      </c>
      <c r="AO274">
        <v>1</v>
      </c>
      <c r="AP274">
        <v>1</v>
      </c>
      <c r="AQ274">
        <v>0</v>
      </c>
      <c r="AR274">
        <v>0</v>
      </c>
      <c r="AS274" t="s">
        <v>3</v>
      </c>
      <c r="AT274">
        <v>3.6</v>
      </c>
      <c r="AU274" t="s">
        <v>218</v>
      </c>
      <c r="AV274">
        <v>0</v>
      </c>
      <c r="AW274">
        <v>2</v>
      </c>
      <c r="AX274">
        <v>54021097</v>
      </c>
      <c r="AY274">
        <v>1</v>
      </c>
      <c r="AZ274">
        <v>0</v>
      </c>
      <c r="BA274">
        <v>387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CV274">
        <v>0</v>
      </c>
      <c r="CW274">
        <f>ROUND(Y274*Source!I266,9)</f>
        <v>1.512</v>
      </c>
      <c r="CX274">
        <f>ROUND(Y274*Source!I266,9)</f>
        <v>1.512</v>
      </c>
      <c r="CY274">
        <f>AB274</f>
        <v>10.23</v>
      </c>
      <c r="CZ274">
        <f>AF274</f>
        <v>1.1100000000000001</v>
      </c>
      <c r="DA274">
        <f>AJ274</f>
        <v>8.48</v>
      </c>
      <c r="DB274">
        <f>ROUND((ROUND(AT274*CZ274,2)*0.6),6)</f>
        <v>2.4</v>
      </c>
      <c r="DC274">
        <f>ROUND((ROUND(AT274*AG274,2)*0.6),6)</f>
        <v>0</v>
      </c>
      <c r="DD274" t="s">
        <v>3</v>
      </c>
      <c r="DE274" t="s">
        <v>3</v>
      </c>
      <c r="DF274">
        <f>ROUND(ROUND(AE274,2)*CX274,2)</f>
        <v>0</v>
      </c>
      <c r="DG274">
        <f>ROUND(ROUND(AF274*AJ274,2)*CX274,2)</f>
        <v>14.23</v>
      </c>
      <c r="DH274">
        <f>ROUND(ROUND(AG274*AK274,2)*CX274,2)</f>
        <v>0</v>
      </c>
      <c r="DI274">
        <f t="shared" si="103"/>
        <v>0</v>
      </c>
      <c r="DJ274">
        <f>DG274</f>
        <v>14.23</v>
      </c>
      <c r="DK274">
        <v>0</v>
      </c>
      <c r="DL274" t="s">
        <v>3</v>
      </c>
      <c r="DM274">
        <v>0</v>
      </c>
      <c r="DN274" t="s">
        <v>3</v>
      </c>
      <c r="DO274">
        <v>0</v>
      </c>
    </row>
    <row r="275" spans="1:119" x14ac:dyDescent="0.2">
      <c r="A275">
        <f>ROW(Source!A266)</f>
        <v>266</v>
      </c>
      <c r="B275">
        <v>53860087</v>
      </c>
      <c r="C275">
        <v>54021083</v>
      </c>
      <c r="D275">
        <v>29580545</v>
      </c>
      <c r="E275">
        <v>1</v>
      </c>
      <c r="F275">
        <v>1</v>
      </c>
      <c r="G275">
        <v>29506949</v>
      </c>
      <c r="H275">
        <v>2</v>
      </c>
      <c r="I275" t="s">
        <v>796</v>
      </c>
      <c r="J275" t="s">
        <v>797</v>
      </c>
      <c r="K275" t="s">
        <v>798</v>
      </c>
      <c r="L275">
        <v>1368</v>
      </c>
      <c r="N275">
        <v>1011</v>
      </c>
      <c r="O275" t="s">
        <v>647</v>
      </c>
      <c r="P275" t="s">
        <v>647</v>
      </c>
      <c r="Q275">
        <v>1</v>
      </c>
      <c r="W275">
        <v>0</v>
      </c>
      <c r="X275">
        <v>-1229299003</v>
      </c>
      <c r="Y275">
        <f>(AT275*0.6)</f>
        <v>0.18</v>
      </c>
      <c r="AA275">
        <v>0</v>
      </c>
      <c r="AB275">
        <v>3.47</v>
      </c>
      <c r="AC275">
        <v>0</v>
      </c>
      <c r="AD275">
        <v>0</v>
      </c>
      <c r="AE275">
        <v>0</v>
      </c>
      <c r="AF275">
        <v>0.36</v>
      </c>
      <c r="AG275">
        <v>0</v>
      </c>
      <c r="AH275">
        <v>0</v>
      </c>
      <c r="AI275">
        <v>1</v>
      </c>
      <c r="AJ275">
        <v>8.86</v>
      </c>
      <c r="AK275">
        <v>30.1</v>
      </c>
      <c r="AL275">
        <v>1</v>
      </c>
      <c r="AM275">
        <v>2</v>
      </c>
      <c r="AN275">
        <v>0</v>
      </c>
      <c r="AO275">
        <v>1</v>
      </c>
      <c r="AP275">
        <v>1</v>
      </c>
      <c r="AQ275">
        <v>0</v>
      </c>
      <c r="AR275">
        <v>0</v>
      </c>
      <c r="AS275" t="s">
        <v>3</v>
      </c>
      <c r="AT275">
        <v>0.3</v>
      </c>
      <c r="AU275" t="s">
        <v>218</v>
      </c>
      <c r="AV275">
        <v>0</v>
      </c>
      <c r="AW275">
        <v>2</v>
      </c>
      <c r="AX275">
        <v>54021098</v>
      </c>
      <c r="AY275">
        <v>1</v>
      </c>
      <c r="AZ275">
        <v>0</v>
      </c>
      <c r="BA275">
        <v>388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CV275">
        <v>0</v>
      </c>
      <c r="CW275">
        <f>ROUND(Y275*Source!I266,9)</f>
        <v>0.126</v>
      </c>
      <c r="CX275">
        <f>ROUND(Y275*Source!I266,9)</f>
        <v>0.126</v>
      </c>
      <c r="CY275">
        <f>AB275</f>
        <v>3.47</v>
      </c>
      <c r="CZ275">
        <f>AF275</f>
        <v>0.36</v>
      </c>
      <c r="DA275">
        <f>AJ275</f>
        <v>8.86</v>
      </c>
      <c r="DB275">
        <f>ROUND((ROUND(AT275*CZ275,2)*0.6),6)</f>
        <v>6.6000000000000003E-2</v>
      </c>
      <c r="DC275">
        <f>ROUND((ROUND(AT275*AG275,2)*0.6),6)</f>
        <v>0</v>
      </c>
      <c r="DD275" t="s">
        <v>3</v>
      </c>
      <c r="DE275" t="s">
        <v>3</v>
      </c>
      <c r="DF275">
        <f>ROUND(ROUND(AE275,2)*CX275,2)</f>
        <v>0</v>
      </c>
      <c r="DG275">
        <f>ROUND(ROUND(AF275*AJ275,2)*CX275,2)</f>
        <v>0.4</v>
      </c>
      <c r="DH275">
        <f>ROUND(ROUND(AG275*AK275,2)*CX275,2)</f>
        <v>0</v>
      </c>
      <c r="DI275">
        <f t="shared" si="103"/>
        <v>0</v>
      </c>
      <c r="DJ275">
        <f>DG275</f>
        <v>0.4</v>
      </c>
      <c r="DK275">
        <v>0</v>
      </c>
      <c r="DL275" t="s">
        <v>3</v>
      </c>
      <c r="DM275">
        <v>0</v>
      </c>
      <c r="DN275" t="s">
        <v>3</v>
      </c>
      <c r="DO275">
        <v>0</v>
      </c>
    </row>
    <row r="276" spans="1:119" x14ac:dyDescent="0.2">
      <c r="A276">
        <f>ROW(Source!A266)</f>
        <v>266</v>
      </c>
      <c r="B276">
        <v>53860087</v>
      </c>
      <c r="C276">
        <v>54021083</v>
      </c>
      <c r="D276">
        <v>29507683</v>
      </c>
      <c r="E276">
        <v>29506949</v>
      </c>
      <c r="F276">
        <v>1</v>
      </c>
      <c r="G276">
        <v>29506949</v>
      </c>
      <c r="H276">
        <v>2</v>
      </c>
      <c r="I276" t="s">
        <v>641</v>
      </c>
      <c r="J276" t="s">
        <v>3</v>
      </c>
      <c r="K276" t="s">
        <v>642</v>
      </c>
      <c r="L276">
        <v>1344</v>
      </c>
      <c r="N276">
        <v>1008</v>
      </c>
      <c r="O276" t="s">
        <v>643</v>
      </c>
      <c r="P276" t="s">
        <v>643</v>
      </c>
      <c r="Q276">
        <v>1</v>
      </c>
      <c r="W276">
        <v>0</v>
      </c>
      <c r="X276">
        <v>-1180195794</v>
      </c>
      <c r="Y276">
        <f>(AT276*0.6)</f>
        <v>1.2E-2</v>
      </c>
      <c r="AA276">
        <v>0</v>
      </c>
      <c r="AB276">
        <v>1.0900000000000001</v>
      </c>
      <c r="AC276">
        <v>0</v>
      </c>
      <c r="AD276">
        <v>0</v>
      </c>
      <c r="AE276">
        <v>0</v>
      </c>
      <c r="AF276">
        <v>1</v>
      </c>
      <c r="AG276">
        <v>0</v>
      </c>
      <c r="AH276">
        <v>0</v>
      </c>
      <c r="AI276">
        <v>1</v>
      </c>
      <c r="AJ276">
        <v>1</v>
      </c>
      <c r="AK276">
        <v>1</v>
      </c>
      <c r="AL276">
        <v>1</v>
      </c>
      <c r="AM276">
        <v>-2</v>
      </c>
      <c r="AN276">
        <v>0</v>
      </c>
      <c r="AO276">
        <v>1</v>
      </c>
      <c r="AP276">
        <v>1</v>
      </c>
      <c r="AQ276">
        <v>0</v>
      </c>
      <c r="AR276">
        <v>0</v>
      </c>
      <c r="AS276" t="s">
        <v>3</v>
      </c>
      <c r="AT276">
        <v>0.02</v>
      </c>
      <c r="AU276" t="s">
        <v>218</v>
      </c>
      <c r="AV276">
        <v>0</v>
      </c>
      <c r="AW276">
        <v>2</v>
      </c>
      <c r="AX276">
        <v>54021099</v>
      </c>
      <c r="AY276">
        <v>1</v>
      </c>
      <c r="AZ276">
        <v>0</v>
      </c>
      <c r="BA276">
        <v>389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CV276">
        <v>0</v>
      </c>
      <c r="CW276">
        <f>ROUND(Y276*Source!I266,9)</f>
        <v>8.3999999999999995E-3</v>
      </c>
      <c r="CX276">
        <f>ROUND(Y276*Source!I266,9)</f>
        <v>8.3999999999999995E-3</v>
      </c>
      <c r="CY276">
        <f>AB276</f>
        <v>1.0900000000000001</v>
      </c>
      <c r="CZ276">
        <f>AF276</f>
        <v>1</v>
      </c>
      <c r="DA276">
        <f>AJ276</f>
        <v>1</v>
      </c>
      <c r="DB276">
        <f>ROUND((ROUND(AT276*CZ276,2)*0.6),6)</f>
        <v>1.2E-2</v>
      </c>
      <c r="DC276">
        <f>ROUND((ROUND(AT276*AG276,2)*0.6),6)</f>
        <v>0</v>
      </c>
      <c r="DD276" t="s">
        <v>3</v>
      </c>
      <c r="DE276" t="s">
        <v>3</v>
      </c>
      <c r="DF276">
        <f>ROUND(ROUND(AE276,2)*CX276,2)</f>
        <v>0</v>
      </c>
      <c r="DG276">
        <f t="shared" ref="DG276:DG283" si="104">ROUND(ROUND(AF276,2)*CX276,2)</f>
        <v>0.01</v>
      </c>
      <c r="DH276">
        <f t="shared" ref="DH276:DH283" si="105">ROUND(ROUND(AG276,2)*CX276,2)</f>
        <v>0</v>
      </c>
      <c r="DI276">
        <f t="shared" si="103"/>
        <v>0</v>
      </c>
      <c r="DJ276">
        <f>DG276</f>
        <v>0.01</v>
      </c>
      <c r="DK276">
        <v>0</v>
      </c>
      <c r="DL276" t="s">
        <v>3</v>
      </c>
      <c r="DM276">
        <v>0</v>
      </c>
      <c r="DN276" t="s">
        <v>3</v>
      </c>
      <c r="DO276">
        <v>0</v>
      </c>
    </row>
    <row r="277" spans="1:119" x14ac:dyDescent="0.2">
      <c r="A277">
        <f>ROW(Source!A266)</f>
        <v>266</v>
      </c>
      <c r="B277">
        <v>53860087</v>
      </c>
      <c r="C277">
        <v>54021083</v>
      </c>
      <c r="D277">
        <v>29557702</v>
      </c>
      <c r="E277">
        <v>1</v>
      </c>
      <c r="F277">
        <v>1</v>
      </c>
      <c r="G277">
        <v>29506949</v>
      </c>
      <c r="H277">
        <v>3</v>
      </c>
      <c r="I277" t="s">
        <v>811</v>
      </c>
      <c r="J277" t="s">
        <v>812</v>
      </c>
      <c r="K277" t="s">
        <v>813</v>
      </c>
      <c r="L277">
        <v>1296</v>
      </c>
      <c r="N277">
        <v>1002</v>
      </c>
      <c r="O277" t="s">
        <v>154</v>
      </c>
      <c r="P277" t="s">
        <v>154</v>
      </c>
      <c r="Q277">
        <v>1</v>
      </c>
      <c r="W277">
        <v>0</v>
      </c>
      <c r="X277">
        <v>-764780147</v>
      </c>
      <c r="Y277">
        <f t="shared" ref="Y277:Y282" si="106">(AT277*0)</f>
        <v>0</v>
      </c>
      <c r="AA277">
        <v>304.04000000000002</v>
      </c>
      <c r="AB277">
        <v>0</v>
      </c>
      <c r="AC277">
        <v>0</v>
      </c>
      <c r="AD277">
        <v>0</v>
      </c>
      <c r="AE277">
        <v>177.8</v>
      </c>
      <c r="AF277">
        <v>0</v>
      </c>
      <c r="AG277">
        <v>0</v>
      </c>
      <c r="AH277">
        <v>0</v>
      </c>
      <c r="AI277">
        <v>1.71</v>
      </c>
      <c r="AJ277">
        <v>1</v>
      </c>
      <c r="AK277">
        <v>1</v>
      </c>
      <c r="AL277">
        <v>1</v>
      </c>
      <c r="AM277">
        <v>2</v>
      </c>
      <c r="AN277">
        <v>0</v>
      </c>
      <c r="AO277">
        <v>1</v>
      </c>
      <c r="AP277">
        <v>1</v>
      </c>
      <c r="AQ277">
        <v>0</v>
      </c>
      <c r="AR277">
        <v>0</v>
      </c>
      <c r="AS277" t="s">
        <v>3</v>
      </c>
      <c r="AT277">
        <v>2.6</v>
      </c>
      <c r="AU277" t="s">
        <v>35</v>
      </c>
      <c r="AV277">
        <v>0</v>
      </c>
      <c r="AW277">
        <v>2</v>
      </c>
      <c r="AX277">
        <v>54021100</v>
      </c>
      <c r="AY277">
        <v>1</v>
      </c>
      <c r="AZ277">
        <v>0</v>
      </c>
      <c r="BA277">
        <v>390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CV277">
        <v>0</v>
      </c>
      <c r="CW277">
        <v>0</v>
      </c>
      <c r="CX277">
        <f>ROUND(Y277*Source!I266,9)</f>
        <v>0</v>
      </c>
      <c r="CY277">
        <f t="shared" ref="CY277:CY282" si="107">AA277</f>
        <v>304.04000000000002</v>
      </c>
      <c r="CZ277">
        <f t="shared" ref="CZ277:CZ282" si="108">AE277</f>
        <v>177.8</v>
      </c>
      <c r="DA277">
        <f t="shared" ref="DA277:DA282" si="109">AI277</f>
        <v>1.71</v>
      </c>
      <c r="DB277">
        <f t="shared" ref="DB277:DB282" si="110">ROUND((ROUND(AT277*CZ277,2)*0),6)</f>
        <v>0</v>
      </c>
      <c r="DC277">
        <f t="shared" ref="DC277:DC282" si="111">ROUND((ROUND(AT277*AG277,2)*0),6)</f>
        <v>0</v>
      </c>
      <c r="DD277" t="s">
        <v>3</v>
      </c>
      <c r="DE277" t="s">
        <v>3</v>
      </c>
      <c r="DF277">
        <f t="shared" ref="DF277:DF282" si="112">ROUND(ROUND(AE277*AI277,2)*CX277,2)</f>
        <v>0</v>
      </c>
      <c r="DG277">
        <f t="shared" si="104"/>
        <v>0</v>
      </c>
      <c r="DH277">
        <f t="shared" si="105"/>
        <v>0</v>
      </c>
      <c r="DI277">
        <f t="shared" si="103"/>
        <v>0</v>
      </c>
      <c r="DJ277">
        <f t="shared" ref="DJ277:DJ282" si="113">DF277</f>
        <v>0</v>
      </c>
      <c r="DK277">
        <v>0</v>
      </c>
      <c r="DL277" t="s">
        <v>3</v>
      </c>
      <c r="DM277">
        <v>0</v>
      </c>
      <c r="DN277" t="s">
        <v>3</v>
      </c>
      <c r="DO277">
        <v>0</v>
      </c>
    </row>
    <row r="278" spans="1:119" x14ac:dyDescent="0.2">
      <c r="A278">
        <f>ROW(Source!A266)</f>
        <v>266</v>
      </c>
      <c r="B278">
        <v>53860087</v>
      </c>
      <c r="C278">
        <v>54021083</v>
      </c>
      <c r="D278">
        <v>29558646</v>
      </c>
      <c r="E278">
        <v>1</v>
      </c>
      <c r="F278">
        <v>1</v>
      </c>
      <c r="G278">
        <v>29506949</v>
      </c>
      <c r="H278">
        <v>3</v>
      </c>
      <c r="I278" t="s">
        <v>814</v>
      </c>
      <c r="J278" t="s">
        <v>815</v>
      </c>
      <c r="K278" t="s">
        <v>816</v>
      </c>
      <c r="L278">
        <v>1296</v>
      </c>
      <c r="N278">
        <v>1002</v>
      </c>
      <c r="O278" t="s">
        <v>154</v>
      </c>
      <c r="P278" t="s">
        <v>154</v>
      </c>
      <c r="Q278">
        <v>1</v>
      </c>
      <c r="W278">
        <v>0</v>
      </c>
      <c r="X278">
        <v>2079983373</v>
      </c>
      <c r="Y278">
        <f t="shared" si="106"/>
        <v>0</v>
      </c>
      <c r="AA278">
        <v>516.75</v>
      </c>
      <c r="AB278">
        <v>0</v>
      </c>
      <c r="AC278">
        <v>0</v>
      </c>
      <c r="AD278">
        <v>0</v>
      </c>
      <c r="AE278">
        <v>125.73</v>
      </c>
      <c r="AF278">
        <v>0</v>
      </c>
      <c r="AG278">
        <v>0</v>
      </c>
      <c r="AH278">
        <v>0</v>
      </c>
      <c r="AI278">
        <v>4.1100000000000003</v>
      </c>
      <c r="AJ278">
        <v>1</v>
      </c>
      <c r="AK278">
        <v>1</v>
      </c>
      <c r="AL278">
        <v>1</v>
      </c>
      <c r="AM278">
        <v>2</v>
      </c>
      <c r="AN278">
        <v>0</v>
      </c>
      <c r="AO278">
        <v>1</v>
      </c>
      <c r="AP278">
        <v>1</v>
      </c>
      <c r="AQ278">
        <v>0</v>
      </c>
      <c r="AR278">
        <v>0</v>
      </c>
      <c r="AS278" t="s">
        <v>3</v>
      </c>
      <c r="AT278">
        <v>6.1</v>
      </c>
      <c r="AU278" t="s">
        <v>35</v>
      </c>
      <c r="AV278">
        <v>0</v>
      </c>
      <c r="AW278">
        <v>2</v>
      </c>
      <c r="AX278">
        <v>54021101</v>
      </c>
      <c r="AY278">
        <v>1</v>
      </c>
      <c r="AZ278">
        <v>0</v>
      </c>
      <c r="BA278">
        <v>391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CV278">
        <v>0</v>
      </c>
      <c r="CW278">
        <v>0</v>
      </c>
      <c r="CX278">
        <f>ROUND(Y278*Source!I266,9)</f>
        <v>0</v>
      </c>
      <c r="CY278">
        <f t="shared" si="107"/>
        <v>516.75</v>
      </c>
      <c r="CZ278">
        <f t="shared" si="108"/>
        <v>125.73</v>
      </c>
      <c r="DA278">
        <f t="shared" si="109"/>
        <v>4.1100000000000003</v>
      </c>
      <c r="DB278">
        <f t="shared" si="110"/>
        <v>0</v>
      </c>
      <c r="DC278">
        <f t="shared" si="111"/>
        <v>0</v>
      </c>
      <c r="DD278" t="s">
        <v>3</v>
      </c>
      <c r="DE278" t="s">
        <v>3</v>
      </c>
      <c r="DF278">
        <f t="shared" si="112"/>
        <v>0</v>
      </c>
      <c r="DG278">
        <f t="shared" si="104"/>
        <v>0</v>
      </c>
      <c r="DH278">
        <f t="shared" si="105"/>
        <v>0</v>
      </c>
      <c r="DI278">
        <f t="shared" si="103"/>
        <v>0</v>
      </c>
      <c r="DJ278">
        <f t="shared" si="113"/>
        <v>0</v>
      </c>
      <c r="DK278">
        <v>0</v>
      </c>
      <c r="DL278" t="s">
        <v>3</v>
      </c>
      <c r="DM278">
        <v>0</v>
      </c>
      <c r="DN278" t="s">
        <v>3</v>
      </c>
      <c r="DO278">
        <v>0</v>
      </c>
    </row>
    <row r="279" spans="1:119" x14ac:dyDescent="0.2">
      <c r="A279">
        <f>ROW(Source!A266)</f>
        <v>266</v>
      </c>
      <c r="B279">
        <v>53860087</v>
      </c>
      <c r="C279">
        <v>54021083</v>
      </c>
      <c r="D279">
        <v>29555566</v>
      </c>
      <c r="E279">
        <v>1</v>
      </c>
      <c r="F279">
        <v>1</v>
      </c>
      <c r="G279">
        <v>29506949</v>
      </c>
      <c r="H279">
        <v>3</v>
      </c>
      <c r="I279" t="s">
        <v>817</v>
      </c>
      <c r="J279" t="s">
        <v>818</v>
      </c>
      <c r="K279" t="s">
        <v>819</v>
      </c>
      <c r="L279">
        <v>1339</v>
      </c>
      <c r="N279">
        <v>1007</v>
      </c>
      <c r="O279" t="s">
        <v>70</v>
      </c>
      <c r="P279" t="s">
        <v>70</v>
      </c>
      <c r="Q279">
        <v>1</v>
      </c>
      <c r="W279">
        <v>0</v>
      </c>
      <c r="X279">
        <v>1995860753</v>
      </c>
      <c r="Y279">
        <f t="shared" si="106"/>
        <v>0</v>
      </c>
      <c r="AA279">
        <v>8083.87</v>
      </c>
      <c r="AB279">
        <v>0</v>
      </c>
      <c r="AC279">
        <v>0</v>
      </c>
      <c r="AD279">
        <v>0</v>
      </c>
      <c r="AE279">
        <v>2472.13</v>
      </c>
      <c r="AF279">
        <v>0</v>
      </c>
      <c r="AG279">
        <v>0</v>
      </c>
      <c r="AH279">
        <v>0</v>
      </c>
      <c r="AI279">
        <v>3.27</v>
      </c>
      <c r="AJ279">
        <v>1</v>
      </c>
      <c r="AK279">
        <v>1</v>
      </c>
      <c r="AL279">
        <v>1</v>
      </c>
      <c r="AM279">
        <v>2</v>
      </c>
      <c r="AN279">
        <v>0</v>
      </c>
      <c r="AO279">
        <v>1</v>
      </c>
      <c r="AP279">
        <v>1</v>
      </c>
      <c r="AQ279">
        <v>0</v>
      </c>
      <c r="AR279">
        <v>0</v>
      </c>
      <c r="AS279" t="s">
        <v>3</v>
      </c>
      <c r="AT279">
        <v>1.6000000000000001E-3</v>
      </c>
      <c r="AU279" t="s">
        <v>35</v>
      </c>
      <c r="AV279">
        <v>0</v>
      </c>
      <c r="AW279">
        <v>2</v>
      </c>
      <c r="AX279">
        <v>54021102</v>
      </c>
      <c r="AY279">
        <v>1</v>
      </c>
      <c r="AZ279">
        <v>0</v>
      </c>
      <c r="BA279">
        <v>392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CV279">
        <v>0</v>
      </c>
      <c r="CW279">
        <v>0</v>
      </c>
      <c r="CX279">
        <f>ROUND(Y279*Source!I266,9)</f>
        <v>0</v>
      </c>
      <c r="CY279">
        <f t="shared" si="107"/>
        <v>8083.87</v>
      </c>
      <c r="CZ279">
        <f t="shared" si="108"/>
        <v>2472.13</v>
      </c>
      <c r="DA279">
        <f t="shared" si="109"/>
        <v>3.27</v>
      </c>
      <c r="DB279">
        <f t="shared" si="110"/>
        <v>0</v>
      </c>
      <c r="DC279">
        <f t="shared" si="111"/>
        <v>0</v>
      </c>
      <c r="DD279" t="s">
        <v>3</v>
      </c>
      <c r="DE279" t="s">
        <v>3</v>
      </c>
      <c r="DF279">
        <f t="shared" si="112"/>
        <v>0</v>
      </c>
      <c r="DG279">
        <f t="shared" si="104"/>
        <v>0</v>
      </c>
      <c r="DH279">
        <f t="shared" si="105"/>
        <v>0</v>
      </c>
      <c r="DI279">
        <f t="shared" si="103"/>
        <v>0</v>
      </c>
      <c r="DJ279">
        <f t="shared" si="113"/>
        <v>0</v>
      </c>
      <c r="DK279">
        <v>0</v>
      </c>
      <c r="DL279" t="s">
        <v>3</v>
      </c>
      <c r="DM279">
        <v>0</v>
      </c>
      <c r="DN279" t="s">
        <v>3</v>
      </c>
      <c r="DO279">
        <v>0</v>
      </c>
    </row>
    <row r="280" spans="1:119" x14ac:dyDescent="0.2">
      <c r="A280">
        <f>ROW(Source!A266)</f>
        <v>266</v>
      </c>
      <c r="B280">
        <v>53860087</v>
      </c>
      <c r="C280">
        <v>54021083</v>
      </c>
      <c r="D280">
        <v>29574109</v>
      </c>
      <c r="E280">
        <v>1</v>
      </c>
      <c r="F280">
        <v>1</v>
      </c>
      <c r="G280">
        <v>29506949</v>
      </c>
      <c r="H280">
        <v>3</v>
      </c>
      <c r="I280" t="s">
        <v>414</v>
      </c>
      <c r="J280" t="s">
        <v>416</v>
      </c>
      <c r="K280" t="s">
        <v>415</v>
      </c>
      <c r="L280">
        <v>1339</v>
      </c>
      <c r="N280">
        <v>1007</v>
      </c>
      <c r="O280" t="s">
        <v>70</v>
      </c>
      <c r="P280" t="s">
        <v>70</v>
      </c>
      <c r="Q280">
        <v>1</v>
      </c>
      <c r="W280">
        <v>0</v>
      </c>
      <c r="X280">
        <v>590295705</v>
      </c>
      <c r="Y280">
        <f t="shared" si="106"/>
        <v>0</v>
      </c>
      <c r="AA280">
        <v>4583.6499999999996</v>
      </c>
      <c r="AB280">
        <v>0</v>
      </c>
      <c r="AC280">
        <v>0</v>
      </c>
      <c r="AD280">
        <v>0</v>
      </c>
      <c r="AE280">
        <v>478.96</v>
      </c>
      <c r="AF280">
        <v>0</v>
      </c>
      <c r="AG280">
        <v>0</v>
      </c>
      <c r="AH280">
        <v>0</v>
      </c>
      <c r="AI280">
        <v>9.57</v>
      </c>
      <c r="AJ280">
        <v>1</v>
      </c>
      <c r="AK280">
        <v>1</v>
      </c>
      <c r="AL280">
        <v>1</v>
      </c>
      <c r="AM280">
        <v>2</v>
      </c>
      <c r="AN280">
        <v>0</v>
      </c>
      <c r="AO280">
        <v>1</v>
      </c>
      <c r="AP280">
        <v>1</v>
      </c>
      <c r="AQ280">
        <v>0</v>
      </c>
      <c r="AR280">
        <v>0</v>
      </c>
      <c r="AS280" t="s">
        <v>3</v>
      </c>
      <c r="AT280">
        <v>0.01</v>
      </c>
      <c r="AU280" t="s">
        <v>35</v>
      </c>
      <c r="AV280">
        <v>0</v>
      </c>
      <c r="AW280">
        <v>2</v>
      </c>
      <c r="AX280">
        <v>54021103</v>
      </c>
      <c r="AY280">
        <v>1</v>
      </c>
      <c r="AZ280">
        <v>0</v>
      </c>
      <c r="BA280">
        <v>393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CV280">
        <v>0</v>
      </c>
      <c r="CW280">
        <v>0</v>
      </c>
      <c r="CX280">
        <f>ROUND(Y280*Source!I266,9)</f>
        <v>0</v>
      </c>
      <c r="CY280">
        <f t="shared" si="107"/>
        <v>4583.6499999999996</v>
      </c>
      <c r="CZ280">
        <f t="shared" si="108"/>
        <v>478.96</v>
      </c>
      <c r="DA280">
        <f t="shared" si="109"/>
        <v>9.57</v>
      </c>
      <c r="DB280">
        <f t="shared" si="110"/>
        <v>0</v>
      </c>
      <c r="DC280">
        <f t="shared" si="111"/>
        <v>0</v>
      </c>
      <c r="DD280" t="s">
        <v>3</v>
      </c>
      <c r="DE280" t="s">
        <v>3</v>
      </c>
      <c r="DF280">
        <f t="shared" si="112"/>
        <v>0</v>
      </c>
      <c r="DG280">
        <f t="shared" si="104"/>
        <v>0</v>
      </c>
      <c r="DH280">
        <f t="shared" si="105"/>
        <v>0</v>
      </c>
      <c r="DI280">
        <f t="shared" si="103"/>
        <v>0</v>
      </c>
      <c r="DJ280">
        <f t="shared" si="113"/>
        <v>0</v>
      </c>
      <c r="DK280">
        <v>0</v>
      </c>
      <c r="DL280" t="s">
        <v>3</v>
      </c>
      <c r="DM280">
        <v>0</v>
      </c>
      <c r="DN280" t="s">
        <v>3</v>
      </c>
      <c r="DO280">
        <v>0</v>
      </c>
    </row>
    <row r="281" spans="1:119" x14ac:dyDescent="0.2">
      <c r="A281">
        <f>ROW(Source!A266)</f>
        <v>266</v>
      </c>
      <c r="B281">
        <v>53860087</v>
      </c>
      <c r="C281">
        <v>54021083</v>
      </c>
      <c r="D281">
        <v>31659018</v>
      </c>
      <c r="E281">
        <v>1</v>
      </c>
      <c r="F281">
        <v>1</v>
      </c>
      <c r="G281">
        <v>29506949</v>
      </c>
      <c r="H281">
        <v>3</v>
      </c>
      <c r="I281" t="s">
        <v>820</v>
      </c>
      <c r="J281" t="s">
        <v>821</v>
      </c>
      <c r="K281" t="s">
        <v>822</v>
      </c>
      <c r="L281">
        <v>1354</v>
      </c>
      <c r="N281">
        <v>1010</v>
      </c>
      <c r="O281" t="s">
        <v>536</v>
      </c>
      <c r="P281" t="s">
        <v>536</v>
      </c>
      <c r="Q281">
        <v>1</v>
      </c>
      <c r="W281">
        <v>0</v>
      </c>
      <c r="X281">
        <v>1529606530</v>
      </c>
      <c r="Y281">
        <f t="shared" si="106"/>
        <v>0</v>
      </c>
      <c r="AA281">
        <v>154.82</v>
      </c>
      <c r="AB281">
        <v>0</v>
      </c>
      <c r="AC281">
        <v>0</v>
      </c>
      <c r="AD281">
        <v>0</v>
      </c>
      <c r="AE281">
        <v>14.23</v>
      </c>
      <c r="AF281">
        <v>0</v>
      </c>
      <c r="AG281">
        <v>0</v>
      </c>
      <c r="AH281">
        <v>0</v>
      </c>
      <c r="AI281">
        <v>10.88</v>
      </c>
      <c r="AJ281">
        <v>1</v>
      </c>
      <c r="AK281">
        <v>1</v>
      </c>
      <c r="AL281">
        <v>1</v>
      </c>
      <c r="AM281">
        <v>2</v>
      </c>
      <c r="AN281">
        <v>0</v>
      </c>
      <c r="AO281">
        <v>1</v>
      </c>
      <c r="AP281">
        <v>1</v>
      </c>
      <c r="AQ281">
        <v>0</v>
      </c>
      <c r="AR281">
        <v>0</v>
      </c>
      <c r="AS281" t="s">
        <v>3</v>
      </c>
      <c r="AT281">
        <v>0.6</v>
      </c>
      <c r="AU281" t="s">
        <v>35</v>
      </c>
      <c r="AV281">
        <v>0</v>
      </c>
      <c r="AW281">
        <v>2</v>
      </c>
      <c r="AX281">
        <v>54021104</v>
      </c>
      <c r="AY281">
        <v>1</v>
      </c>
      <c r="AZ281">
        <v>0</v>
      </c>
      <c r="BA281">
        <v>394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CV281">
        <v>0</v>
      </c>
      <c r="CW281">
        <v>0</v>
      </c>
      <c r="CX281">
        <f>ROUND(Y281*Source!I266,9)</f>
        <v>0</v>
      </c>
      <c r="CY281">
        <f t="shared" si="107"/>
        <v>154.82</v>
      </c>
      <c r="CZ281">
        <f t="shared" si="108"/>
        <v>14.23</v>
      </c>
      <c r="DA281">
        <f t="shared" si="109"/>
        <v>10.88</v>
      </c>
      <c r="DB281">
        <f t="shared" si="110"/>
        <v>0</v>
      </c>
      <c r="DC281">
        <f t="shared" si="111"/>
        <v>0</v>
      </c>
      <c r="DD281" t="s">
        <v>3</v>
      </c>
      <c r="DE281" t="s">
        <v>3</v>
      </c>
      <c r="DF281">
        <f t="shared" si="112"/>
        <v>0</v>
      </c>
      <c r="DG281">
        <f t="shared" si="104"/>
        <v>0</v>
      </c>
      <c r="DH281">
        <f t="shared" si="105"/>
        <v>0</v>
      </c>
      <c r="DI281">
        <f t="shared" si="103"/>
        <v>0</v>
      </c>
      <c r="DJ281">
        <f t="shared" si="113"/>
        <v>0</v>
      </c>
      <c r="DK281">
        <v>0</v>
      </c>
      <c r="DL281" t="s">
        <v>3</v>
      </c>
      <c r="DM281">
        <v>0</v>
      </c>
      <c r="DN281" t="s">
        <v>3</v>
      </c>
      <c r="DO281">
        <v>0</v>
      </c>
    </row>
    <row r="282" spans="1:119" x14ac:dyDescent="0.2">
      <c r="A282">
        <f>ROW(Source!A266)</f>
        <v>266</v>
      </c>
      <c r="B282">
        <v>53860087</v>
      </c>
      <c r="C282">
        <v>54021083</v>
      </c>
      <c r="D282">
        <v>29577956</v>
      </c>
      <c r="E282">
        <v>1</v>
      </c>
      <c r="F282">
        <v>1</v>
      </c>
      <c r="G282">
        <v>29506949</v>
      </c>
      <c r="H282">
        <v>3</v>
      </c>
      <c r="I282" t="s">
        <v>823</v>
      </c>
      <c r="J282" t="s">
        <v>824</v>
      </c>
      <c r="K282" t="s">
        <v>825</v>
      </c>
      <c r="L282">
        <v>1354</v>
      </c>
      <c r="N282">
        <v>1010</v>
      </c>
      <c r="O282" t="s">
        <v>536</v>
      </c>
      <c r="P282" t="s">
        <v>536</v>
      </c>
      <c r="Q282">
        <v>1</v>
      </c>
      <c r="W282">
        <v>0</v>
      </c>
      <c r="X282">
        <v>253564179</v>
      </c>
      <c r="Y282">
        <f t="shared" si="106"/>
        <v>0</v>
      </c>
      <c r="AA282">
        <v>363.23</v>
      </c>
      <c r="AB282">
        <v>0</v>
      </c>
      <c r="AC282">
        <v>0</v>
      </c>
      <c r="AD282">
        <v>0</v>
      </c>
      <c r="AE282">
        <v>25.33</v>
      </c>
      <c r="AF282">
        <v>0</v>
      </c>
      <c r="AG282">
        <v>0</v>
      </c>
      <c r="AH282">
        <v>0</v>
      </c>
      <c r="AI282">
        <v>14.34</v>
      </c>
      <c r="AJ282">
        <v>1</v>
      </c>
      <c r="AK282">
        <v>1</v>
      </c>
      <c r="AL282">
        <v>1</v>
      </c>
      <c r="AM282">
        <v>2</v>
      </c>
      <c r="AN282">
        <v>0</v>
      </c>
      <c r="AO282">
        <v>1</v>
      </c>
      <c r="AP282">
        <v>1</v>
      </c>
      <c r="AQ282">
        <v>0</v>
      </c>
      <c r="AR282">
        <v>0</v>
      </c>
      <c r="AS282" t="s">
        <v>3</v>
      </c>
      <c r="AT282">
        <v>60</v>
      </c>
      <c r="AU282" t="s">
        <v>35</v>
      </c>
      <c r="AV282">
        <v>0</v>
      </c>
      <c r="AW282">
        <v>2</v>
      </c>
      <c r="AX282">
        <v>54021105</v>
      </c>
      <c r="AY282">
        <v>1</v>
      </c>
      <c r="AZ282">
        <v>0</v>
      </c>
      <c r="BA282">
        <v>395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CV282">
        <v>0</v>
      </c>
      <c r="CW282">
        <v>0</v>
      </c>
      <c r="CX282">
        <f>ROUND(Y282*Source!I266,9)</f>
        <v>0</v>
      </c>
      <c r="CY282">
        <f t="shared" si="107"/>
        <v>363.23</v>
      </c>
      <c r="CZ282">
        <f t="shared" si="108"/>
        <v>25.33</v>
      </c>
      <c r="DA282">
        <f t="shared" si="109"/>
        <v>14.34</v>
      </c>
      <c r="DB282">
        <f t="shared" si="110"/>
        <v>0</v>
      </c>
      <c r="DC282">
        <f t="shared" si="111"/>
        <v>0</v>
      </c>
      <c r="DD282" t="s">
        <v>3</v>
      </c>
      <c r="DE282" t="s">
        <v>3</v>
      </c>
      <c r="DF282">
        <f t="shared" si="112"/>
        <v>0</v>
      </c>
      <c r="DG282">
        <f t="shared" si="104"/>
        <v>0</v>
      </c>
      <c r="DH282">
        <f t="shared" si="105"/>
        <v>0</v>
      </c>
      <c r="DI282">
        <f t="shared" si="103"/>
        <v>0</v>
      </c>
      <c r="DJ282">
        <f t="shared" si="113"/>
        <v>0</v>
      </c>
      <c r="DK282">
        <v>0</v>
      </c>
      <c r="DL282" t="s">
        <v>3</v>
      </c>
      <c r="DM282">
        <v>0</v>
      </c>
      <c r="DN282" t="s">
        <v>3</v>
      </c>
      <c r="DO282">
        <v>0</v>
      </c>
    </row>
    <row r="283" spans="1:119" x14ac:dyDescent="0.2">
      <c r="A283">
        <f>ROW(Source!A267)</f>
        <v>267</v>
      </c>
      <c r="B283">
        <v>53860087</v>
      </c>
      <c r="C283">
        <v>54021107</v>
      </c>
      <c r="D283">
        <v>29506954</v>
      </c>
      <c r="E283">
        <v>29506949</v>
      </c>
      <c r="F283">
        <v>1</v>
      </c>
      <c r="G283">
        <v>29506949</v>
      </c>
      <c r="H283">
        <v>1</v>
      </c>
      <c r="I283" t="s">
        <v>638</v>
      </c>
      <c r="J283" t="s">
        <v>3</v>
      </c>
      <c r="K283" t="s">
        <v>639</v>
      </c>
      <c r="L283">
        <v>1191</v>
      </c>
      <c r="N283">
        <v>1013</v>
      </c>
      <c r="O283" t="s">
        <v>640</v>
      </c>
      <c r="P283" t="s">
        <v>640</v>
      </c>
      <c r="Q283">
        <v>1</v>
      </c>
      <c r="W283">
        <v>0</v>
      </c>
      <c r="X283">
        <v>476480486</v>
      </c>
      <c r="Y283">
        <f>(AT283*1.15)</f>
        <v>64.606999999999999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1</v>
      </c>
      <c r="AJ283">
        <v>1</v>
      </c>
      <c r="AK283">
        <v>1</v>
      </c>
      <c r="AL283">
        <v>1</v>
      </c>
      <c r="AM283">
        <v>-2</v>
      </c>
      <c r="AN283">
        <v>0</v>
      </c>
      <c r="AO283">
        <v>1</v>
      </c>
      <c r="AP283">
        <v>1</v>
      </c>
      <c r="AQ283">
        <v>0</v>
      </c>
      <c r="AR283">
        <v>0</v>
      </c>
      <c r="AS283" t="s">
        <v>3</v>
      </c>
      <c r="AT283">
        <v>56.18</v>
      </c>
      <c r="AU283" t="s">
        <v>52</v>
      </c>
      <c r="AV283">
        <v>1</v>
      </c>
      <c r="AW283">
        <v>2</v>
      </c>
      <c r="AX283">
        <v>54021120</v>
      </c>
      <c r="AY283">
        <v>1</v>
      </c>
      <c r="AZ283">
        <v>0</v>
      </c>
      <c r="BA283">
        <v>397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CU283">
        <f>ROUND(AT283*Source!I267*AH283*AL283,2)</f>
        <v>0</v>
      </c>
      <c r="CV283">
        <f>ROUND(Y283*Source!I267,9)</f>
        <v>45.224899999999998</v>
      </c>
      <c r="CW283">
        <v>0</v>
      </c>
      <c r="CX283">
        <f>ROUND(Y283*Source!I267,9)</f>
        <v>45.224899999999998</v>
      </c>
      <c r="CY283">
        <f>AD283</f>
        <v>0</v>
      </c>
      <c r="CZ283">
        <f>AH283</f>
        <v>0</v>
      </c>
      <c r="DA283">
        <f>AL283</f>
        <v>1</v>
      </c>
      <c r="DB283">
        <f>ROUND((ROUND(AT283*CZ283,2)*1.15),6)</f>
        <v>0</v>
      </c>
      <c r="DC283">
        <f>ROUND((ROUND(AT283*AG283,2)*1.15),6)</f>
        <v>0</v>
      </c>
      <c r="DD283" t="s">
        <v>3</v>
      </c>
      <c r="DE283" t="s">
        <v>3</v>
      </c>
      <c r="DF283">
        <f>ROUND(ROUND(AE283,2)*CX283,2)</f>
        <v>0</v>
      </c>
      <c r="DG283">
        <f t="shared" si="104"/>
        <v>0</v>
      </c>
      <c r="DH283">
        <f t="shared" si="105"/>
        <v>0</v>
      </c>
      <c r="DI283">
        <f t="shared" si="103"/>
        <v>0</v>
      </c>
      <c r="DJ283">
        <f>DI283</f>
        <v>0</v>
      </c>
      <c r="DK283">
        <v>0</v>
      </c>
      <c r="DL283" t="s">
        <v>3</v>
      </c>
      <c r="DM283">
        <v>0</v>
      </c>
      <c r="DN283" t="s">
        <v>3</v>
      </c>
      <c r="DO283">
        <v>0</v>
      </c>
    </row>
    <row r="284" spans="1:119" x14ac:dyDescent="0.2">
      <c r="A284">
        <f>ROW(Source!A267)</f>
        <v>267</v>
      </c>
      <c r="B284">
        <v>53860087</v>
      </c>
      <c r="C284">
        <v>54021107</v>
      </c>
      <c r="D284">
        <v>29580491</v>
      </c>
      <c r="E284">
        <v>1</v>
      </c>
      <c r="F284">
        <v>1</v>
      </c>
      <c r="G284">
        <v>29506949</v>
      </c>
      <c r="H284">
        <v>2</v>
      </c>
      <c r="I284" t="s">
        <v>650</v>
      </c>
      <c r="J284" t="s">
        <v>651</v>
      </c>
      <c r="K284" t="s">
        <v>652</v>
      </c>
      <c r="L284">
        <v>1368</v>
      </c>
      <c r="N284">
        <v>1011</v>
      </c>
      <c r="O284" t="s">
        <v>647</v>
      </c>
      <c r="P284" t="s">
        <v>647</v>
      </c>
      <c r="Q284">
        <v>1</v>
      </c>
      <c r="W284">
        <v>0</v>
      </c>
      <c r="X284">
        <v>-1440889904</v>
      </c>
      <c r="Y284">
        <f>(AT284*1.25)</f>
        <v>0.23749999999999999</v>
      </c>
      <c r="AA284">
        <v>0</v>
      </c>
      <c r="AB284">
        <v>1092.0899999999999</v>
      </c>
      <c r="AC284">
        <v>412.91</v>
      </c>
      <c r="AD284">
        <v>0</v>
      </c>
      <c r="AE284">
        <v>0</v>
      </c>
      <c r="AF284">
        <v>83.1</v>
      </c>
      <c r="AG284">
        <v>12.62</v>
      </c>
      <c r="AH284">
        <v>0</v>
      </c>
      <c r="AI284">
        <v>1</v>
      </c>
      <c r="AJ284">
        <v>12.09</v>
      </c>
      <c r="AK284">
        <v>30.1</v>
      </c>
      <c r="AL284">
        <v>1</v>
      </c>
      <c r="AM284">
        <v>2</v>
      </c>
      <c r="AN284">
        <v>0</v>
      </c>
      <c r="AO284">
        <v>1</v>
      </c>
      <c r="AP284">
        <v>1</v>
      </c>
      <c r="AQ284">
        <v>0</v>
      </c>
      <c r="AR284">
        <v>0</v>
      </c>
      <c r="AS284" t="s">
        <v>3</v>
      </c>
      <c r="AT284">
        <v>0.19</v>
      </c>
      <c r="AU284" t="s">
        <v>51</v>
      </c>
      <c r="AV284">
        <v>0</v>
      </c>
      <c r="AW284">
        <v>2</v>
      </c>
      <c r="AX284">
        <v>54021121</v>
      </c>
      <c r="AY284">
        <v>1</v>
      </c>
      <c r="AZ284">
        <v>0</v>
      </c>
      <c r="BA284">
        <v>398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CV284">
        <v>0</v>
      </c>
      <c r="CW284">
        <f>ROUND(Y284*Source!I267,9)</f>
        <v>0.16625000000000001</v>
      </c>
      <c r="CX284">
        <f>ROUND(Y284*Source!I267,9)</f>
        <v>0.16625000000000001</v>
      </c>
      <c r="CY284">
        <f>AB284</f>
        <v>1092.0899999999999</v>
      </c>
      <c r="CZ284">
        <f>AF284</f>
        <v>83.1</v>
      </c>
      <c r="DA284">
        <f>AJ284</f>
        <v>12.09</v>
      </c>
      <c r="DB284">
        <f>ROUND((ROUND(AT284*CZ284,2)*1.25),6)</f>
        <v>19.737500000000001</v>
      </c>
      <c r="DC284">
        <f>ROUND((ROUND(AT284*AG284,2)*1.25),6)</f>
        <v>3</v>
      </c>
      <c r="DD284" t="s">
        <v>3</v>
      </c>
      <c r="DE284" t="s">
        <v>3</v>
      </c>
      <c r="DF284">
        <f>ROUND(ROUND(AE284,2)*CX284,2)</f>
        <v>0</v>
      </c>
      <c r="DG284">
        <f>ROUND(ROUND(AF284*AJ284,2)*CX284,2)</f>
        <v>167.03</v>
      </c>
      <c r="DH284">
        <f>ROUND(ROUND(AG284*AK284,2)*CX284,2)</f>
        <v>63.15</v>
      </c>
      <c r="DI284">
        <f t="shared" si="103"/>
        <v>0</v>
      </c>
      <c r="DJ284">
        <f>DG284</f>
        <v>167.03</v>
      </c>
      <c r="DK284">
        <v>0</v>
      </c>
      <c r="DL284" t="s">
        <v>3</v>
      </c>
      <c r="DM284">
        <v>0</v>
      </c>
      <c r="DN284" t="s">
        <v>3</v>
      </c>
      <c r="DO284">
        <v>0</v>
      </c>
    </row>
    <row r="285" spans="1:119" x14ac:dyDescent="0.2">
      <c r="A285">
        <f>ROW(Source!A267)</f>
        <v>267</v>
      </c>
      <c r="B285">
        <v>53860087</v>
      </c>
      <c r="C285">
        <v>54021107</v>
      </c>
      <c r="D285">
        <v>29580614</v>
      </c>
      <c r="E285">
        <v>1</v>
      </c>
      <c r="F285">
        <v>1</v>
      </c>
      <c r="G285">
        <v>29506949</v>
      </c>
      <c r="H285">
        <v>2</v>
      </c>
      <c r="I285" t="s">
        <v>682</v>
      </c>
      <c r="J285" t="s">
        <v>683</v>
      </c>
      <c r="K285" t="s">
        <v>684</v>
      </c>
      <c r="L285">
        <v>1368</v>
      </c>
      <c r="N285">
        <v>1011</v>
      </c>
      <c r="O285" t="s">
        <v>647</v>
      </c>
      <c r="P285" t="s">
        <v>647</v>
      </c>
      <c r="Q285">
        <v>1</v>
      </c>
      <c r="W285">
        <v>0</v>
      </c>
      <c r="X285">
        <v>-798320174</v>
      </c>
      <c r="Y285">
        <f>(AT285*1.25)</f>
        <v>4.5</v>
      </c>
      <c r="AA285">
        <v>0</v>
      </c>
      <c r="AB285">
        <v>10.23</v>
      </c>
      <c r="AC285">
        <v>0</v>
      </c>
      <c r="AD285">
        <v>0</v>
      </c>
      <c r="AE285">
        <v>0</v>
      </c>
      <c r="AF285">
        <v>1.1100000000000001</v>
      </c>
      <c r="AG285">
        <v>0</v>
      </c>
      <c r="AH285">
        <v>0</v>
      </c>
      <c r="AI285">
        <v>1</v>
      </c>
      <c r="AJ285">
        <v>8.48</v>
      </c>
      <c r="AK285">
        <v>30.1</v>
      </c>
      <c r="AL285">
        <v>1</v>
      </c>
      <c r="AM285">
        <v>2</v>
      </c>
      <c r="AN285">
        <v>0</v>
      </c>
      <c r="AO285">
        <v>1</v>
      </c>
      <c r="AP285">
        <v>1</v>
      </c>
      <c r="AQ285">
        <v>0</v>
      </c>
      <c r="AR285">
        <v>0</v>
      </c>
      <c r="AS285" t="s">
        <v>3</v>
      </c>
      <c r="AT285">
        <v>3.6</v>
      </c>
      <c r="AU285" t="s">
        <v>51</v>
      </c>
      <c r="AV285">
        <v>0</v>
      </c>
      <c r="AW285">
        <v>2</v>
      </c>
      <c r="AX285">
        <v>54021122</v>
      </c>
      <c r="AY285">
        <v>1</v>
      </c>
      <c r="AZ285">
        <v>0</v>
      </c>
      <c r="BA285">
        <v>399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CV285">
        <v>0</v>
      </c>
      <c r="CW285">
        <f>ROUND(Y285*Source!I267,9)</f>
        <v>3.15</v>
      </c>
      <c r="CX285">
        <f>ROUND(Y285*Source!I267,9)</f>
        <v>3.15</v>
      </c>
      <c r="CY285">
        <f>AB285</f>
        <v>10.23</v>
      </c>
      <c r="CZ285">
        <f>AF285</f>
        <v>1.1100000000000001</v>
      </c>
      <c r="DA285">
        <f>AJ285</f>
        <v>8.48</v>
      </c>
      <c r="DB285">
        <f>ROUND((ROUND(AT285*CZ285,2)*1.25),6)</f>
        <v>5</v>
      </c>
      <c r="DC285">
        <f>ROUND((ROUND(AT285*AG285,2)*1.25),6)</f>
        <v>0</v>
      </c>
      <c r="DD285" t="s">
        <v>3</v>
      </c>
      <c r="DE285" t="s">
        <v>3</v>
      </c>
      <c r="DF285">
        <f>ROUND(ROUND(AE285,2)*CX285,2)</f>
        <v>0</v>
      </c>
      <c r="DG285">
        <f>ROUND(ROUND(AF285*AJ285,2)*CX285,2)</f>
        <v>29.64</v>
      </c>
      <c r="DH285">
        <f>ROUND(ROUND(AG285*AK285,2)*CX285,2)</f>
        <v>0</v>
      </c>
      <c r="DI285">
        <f t="shared" si="103"/>
        <v>0</v>
      </c>
      <c r="DJ285">
        <f>DG285</f>
        <v>29.64</v>
      </c>
      <c r="DK285">
        <v>0</v>
      </c>
      <c r="DL285" t="s">
        <v>3</v>
      </c>
      <c r="DM285">
        <v>0</v>
      </c>
      <c r="DN285" t="s">
        <v>3</v>
      </c>
      <c r="DO285">
        <v>0</v>
      </c>
    </row>
    <row r="286" spans="1:119" x14ac:dyDescent="0.2">
      <c r="A286">
        <f>ROW(Source!A267)</f>
        <v>267</v>
      </c>
      <c r="B286">
        <v>53860087</v>
      </c>
      <c r="C286">
        <v>54021107</v>
      </c>
      <c r="D286">
        <v>29580545</v>
      </c>
      <c r="E286">
        <v>1</v>
      </c>
      <c r="F286">
        <v>1</v>
      </c>
      <c r="G286">
        <v>29506949</v>
      </c>
      <c r="H286">
        <v>2</v>
      </c>
      <c r="I286" t="s">
        <v>796</v>
      </c>
      <c r="J286" t="s">
        <v>797</v>
      </c>
      <c r="K286" t="s">
        <v>798</v>
      </c>
      <c r="L286">
        <v>1368</v>
      </c>
      <c r="N286">
        <v>1011</v>
      </c>
      <c r="O286" t="s">
        <v>647</v>
      </c>
      <c r="P286" t="s">
        <v>647</v>
      </c>
      <c r="Q286">
        <v>1</v>
      </c>
      <c r="W286">
        <v>0</v>
      </c>
      <c r="X286">
        <v>-1229299003</v>
      </c>
      <c r="Y286">
        <f>(AT286*1.25)</f>
        <v>0.375</v>
      </c>
      <c r="AA286">
        <v>0</v>
      </c>
      <c r="AB286">
        <v>3.47</v>
      </c>
      <c r="AC286">
        <v>0</v>
      </c>
      <c r="AD286">
        <v>0</v>
      </c>
      <c r="AE286">
        <v>0</v>
      </c>
      <c r="AF286">
        <v>0.36</v>
      </c>
      <c r="AG286">
        <v>0</v>
      </c>
      <c r="AH286">
        <v>0</v>
      </c>
      <c r="AI286">
        <v>1</v>
      </c>
      <c r="AJ286">
        <v>8.86</v>
      </c>
      <c r="AK286">
        <v>30.1</v>
      </c>
      <c r="AL286">
        <v>1</v>
      </c>
      <c r="AM286">
        <v>2</v>
      </c>
      <c r="AN286">
        <v>0</v>
      </c>
      <c r="AO286">
        <v>1</v>
      </c>
      <c r="AP286">
        <v>1</v>
      </c>
      <c r="AQ286">
        <v>0</v>
      </c>
      <c r="AR286">
        <v>0</v>
      </c>
      <c r="AS286" t="s">
        <v>3</v>
      </c>
      <c r="AT286">
        <v>0.3</v>
      </c>
      <c r="AU286" t="s">
        <v>51</v>
      </c>
      <c r="AV286">
        <v>0</v>
      </c>
      <c r="AW286">
        <v>2</v>
      </c>
      <c r="AX286">
        <v>54021123</v>
      </c>
      <c r="AY286">
        <v>1</v>
      </c>
      <c r="AZ286">
        <v>0</v>
      </c>
      <c r="BA286">
        <v>400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CV286">
        <v>0</v>
      </c>
      <c r="CW286">
        <f>ROUND(Y286*Source!I267,9)</f>
        <v>0.26250000000000001</v>
      </c>
      <c r="CX286">
        <f>ROUND(Y286*Source!I267,9)</f>
        <v>0.26250000000000001</v>
      </c>
      <c r="CY286">
        <f>AB286</f>
        <v>3.47</v>
      </c>
      <c r="CZ286">
        <f>AF286</f>
        <v>0.36</v>
      </c>
      <c r="DA286">
        <f>AJ286</f>
        <v>8.86</v>
      </c>
      <c r="DB286">
        <f>ROUND((ROUND(AT286*CZ286,2)*1.25),6)</f>
        <v>0.13750000000000001</v>
      </c>
      <c r="DC286">
        <f>ROUND((ROUND(AT286*AG286,2)*1.25),6)</f>
        <v>0</v>
      </c>
      <c r="DD286" t="s">
        <v>3</v>
      </c>
      <c r="DE286" t="s">
        <v>3</v>
      </c>
      <c r="DF286">
        <f>ROUND(ROUND(AE286,2)*CX286,2)</f>
        <v>0</v>
      </c>
      <c r="DG286">
        <f>ROUND(ROUND(AF286*AJ286,2)*CX286,2)</f>
        <v>0.84</v>
      </c>
      <c r="DH286">
        <f>ROUND(ROUND(AG286*AK286,2)*CX286,2)</f>
        <v>0</v>
      </c>
      <c r="DI286">
        <f t="shared" si="103"/>
        <v>0</v>
      </c>
      <c r="DJ286">
        <f>DG286</f>
        <v>0.84</v>
      </c>
      <c r="DK286">
        <v>0</v>
      </c>
      <c r="DL286" t="s">
        <v>3</v>
      </c>
      <c r="DM286">
        <v>0</v>
      </c>
      <c r="DN286" t="s">
        <v>3</v>
      </c>
      <c r="DO286">
        <v>0</v>
      </c>
    </row>
    <row r="287" spans="1:119" x14ac:dyDescent="0.2">
      <c r="A287">
        <f>ROW(Source!A267)</f>
        <v>267</v>
      </c>
      <c r="B287">
        <v>53860087</v>
      </c>
      <c r="C287">
        <v>54021107</v>
      </c>
      <c r="D287">
        <v>29507683</v>
      </c>
      <c r="E287">
        <v>29506949</v>
      </c>
      <c r="F287">
        <v>1</v>
      </c>
      <c r="G287">
        <v>29506949</v>
      </c>
      <c r="H287">
        <v>2</v>
      </c>
      <c r="I287" t="s">
        <v>641</v>
      </c>
      <c r="J287" t="s">
        <v>3</v>
      </c>
      <c r="K287" t="s">
        <v>642</v>
      </c>
      <c r="L287">
        <v>1344</v>
      </c>
      <c r="N287">
        <v>1008</v>
      </c>
      <c r="O287" t="s">
        <v>643</v>
      </c>
      <c r="P287" t="s">
        <v>643</v>
      </c>
      <c r="Q287">
        <v>1</v>
      </c>
      <c r="W287">
        <v>0</v>
      </c>
      <c r="X287">
        <v>-1180195794</v>
      </c>
      <c r="Y287">
        <f>(AT287*1.25)</f>
        <v>2.5000000000000001E-2</v>
      </c>
      <c r="AA287">
        <v>0</v>
      </c>
      <c r="AB287">
        <v>1.0900000000000001</v>
      </c>
      <c r="AC287">
        <v>0</v>
      </c>
      <c r="AD287">
        <v>0</v>
      </c>
      <c r="AE287">
        <v>0</v>
      </c>
      <c r="AF287">
        <v>1</v>
      </c>
      <c r="AG287">
        <v>0</v>
      </c>
      <c r="AH287">
        <v>0</v>
      </c>
      <c r="AI287">
        <v>1</v>
      </c>
      <c r="AJ287">
        <v>1</v>
      </c>
      <c r="AK287">
        <v>1</v>
      </c>
      <c r="AL287">
        <v>1</v>
      </c>
      <c r="AM287">
        <v>-2</v>
      </c>
      <c r="AN287">
        <v>0</v>
      </c>
      <c r="AO287">
        <v>1</v>
      </c>
      <c r="AP287">
        <v>1</v>
      </c>
      <c r="AQ287">
        <v>0</v>
      </c>
      <c r="AR287">
        <v>0</v>
      </c>
      <c r="AS287" t="s">
        <v>3</v>
      </c>
      <c r="AT287">
        <v>0.02</v>
      </c>
      <c r="AU287" t="s">
        <v>51</v>
      </c>
      <c r="AV287">
        <v>0</v>
      </c>
      <c r="AW287">
        <v>2</v>
      </c>
      <c r="AX287">
        <v>54021124</v>
      </c>
      <c r="AY287">
        <v>1</v>
      </c>
      <c r="AZ287">
        <v>0</v>
      </c>
      <c r="BA287">
        <v>401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CV287">
        <v>0</v>
      </c>
      <c r="CW287">
        <f>ROUND(Y287*Source!I267,9)</f>
        <v>1.7500000000000002E-2</v>
      </c>
      <c r="CX287">
        <f>ROUND(Y287*Source!I267,9)</f>
        <v>1.7500000000000002E-2</v>
      </c>
      <c r="CY287">
        <f>AB287</f>
        <v>1.0900000000000001</v>
      </c>
      <c r="CZ287">
        <f>AF287</f>
        <v>1</v>
      </c>
      <c r="DA287">
        <f>AJ287</f>
        <v>1</v>
      </c>
      <c r="DB287">
        <f>ROUND((ROUND(AT287*CZ287,2)*1.25),6)</f>
        <v>2.5000000000000001E-2</v>
      </c>
      <c r="DC287">
        <f>ROUND((ROUND(AT287*AG287,2)*1.25),6)</f>
        <v>0</v>
      </c>
      <c r="DD287" t="s">
        <v>3</v>
      </c>
      <c r="DE287" t="s">
        <v>3</v>
      </c>
      <c r="DF287">
        <f>ROUND(ROUND(AE287,2)*CX287,2)</f>
        <v>0</v>
      </c>
      <c r="DG287">
        <f t="shared" ref="DG287:DG295" si="114">ROUND(ROUND(AF287,2)*CX287,2)</f>
        <v>0.02</v>
      </c>
      <c r="DH287">
        <f t="shared" ref="DH287:DH295" si="115">ROUND(ROUND(AG287,2)*CX287,2)</f>
        <v>0</v>
      </c>
      <c r="DI287">
        <f t="shared" si="103"/>
        <v>0</v>
      </c>
      <c r="DJ287">
        <f>DG287</f>
        <v>0.02</v>
      </c>
      <c r="DK287">
        <v>0</v>
      </c>
      <c r="DL287" t="s">
        <v>3</v>
      </c>
      <c r="DM287">
        <v>0</v>
      </c>
      <c r="DN287" t="s">
        <v>3</v>
      </c>
      <c r="DO287">
        <v>0</v>
      </c>
    </row>
    <row r="288" spans="1:119" x14ac:dyDescent="0.2">
      <c r="A288">
        <f>ROW(Source!A267)</f>
        <v>267</v>
      </c>
      <c r="B288">
        <v>53860087</v>
      </c>
      <c r="C288">
        <v>54021107</v>
      </c>
      <c r="D288">
        <v>29557702</v>
      </c>
      <c r="E288">
        <v>1</v>
      </c>
      <c r="F288">
        <v>1</v>
      </c>
      <c r="G288">
        <v>29506949</v>
      </c>
      <c r="H288">
        <v>3</v>
      </c>
      <c r="I288" t="s">
        <v>811</v>
      </c>
      <c r="J288" t="s">
        <v>812</v>
      </c>
      <c r="K288" t="s">
        <v>813</v>
      </c>
      <c r="L288">
        <v>1296</v>
      </c>
      <c r="N288">
        <v>1002</v>
      </c>
      <c r="O288" t="s">
        <v>154</v>
      </c>
      <c r="P288" t="s">
        <v>154</v>
      </c>
      <c r="Q288">
        <v>1</v>
      </c>
      <c r="W288">
        <v>0</v>
      </c>
      <c r="X288">
        <v>-764780147</v>
      </c>
      <c r="Y288">
        <f t="shared" ref="Y288:Y294" si="116">AT288</f>
        <v>2.6</v>
      </c>
      <c r="AA288">
        <v>304.04000000000002</v>
      </c>
      <c r="AB288">
        <v>0</v>
      </c>
      <c r="AC288">
        <v>0</v>
      </c>
      <c r="AD288">
        <v>0</v>
      </c>
      <c r="AE288">
        <v>177.8</v>
      </c>
      <c r="AF288">
        <v>0</v>
      </c>
      <c r="AG288">
        <v>0</v>
      </c>
      <c r="AH288">
        <v>0</v>
      </c>
      <c r="AI288">
        <v>1.71</v>
      </c>
      <c r="AJ288">
        <v>1</v>
      </c>
      <c r="AK288">
        <v>1</v>
      </c>
      <c r="AL288">
        <v>1</v>
      </c>
      <c r="AM288">
        <v>2</v>
      </c>
      <c r="AN288">
        <v>0</v>
      </c>
      <c r="AO288">
        <v>1</v>
      </c>
      <c r="AP288">
        <v>1</v>
      </c>
      <c r="AQ288">
        <v>0</v>
      </c>
      <c r="AR288">
        <v>0</v>
      </c>
      <c r="AS288" t="s">
        <v>3</v>
      </c>
      <c r="AT288">
        <v>2.6</v>
      </c>
      <c r="AU288" t="s">
        <v>3</v>
      </c>
      <c r="AV288">
        <v>0</v>
      </c>
      <c r="AW288">
        <v>2</v>
      </c>
      <c r="AX288">
        <v>54021125</v>
      </c>
      <c r="AY288">
        <v>1</v>
      </c>
      <c r="AZ288">
        <v>0</v>
      </c>
      <c r="BA288">
        <v>402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CV288">
        <v>0</v>
      </c>
      <c r="CW288">
        <v>0</v>
      </c>
      <c r="CX288">
        <f>ROUND(Y288*Source!I267,9)</f>
        <v>1.82</v>
      </c>
      <c r="CY288">
        <f t="shared" ref="CY288:CY294" si="117">AA288</f>
        <v>304.04000000000002</v>
      </c>
      <c r="CZ288">
        <f t="shared" ref="CZ288:CZ294" si="118">AE288</f>
        <v>177.8</v>
      </c>
      <c r="DA288">
        <f t="shared" ref="DA288:DA294" si="119">AI288</f>
        <v>1.71</v>
      </c>
      <c r="DB288">
        <f t="shared" ref="DB288:DB294" si="120">ROUND(ROUND(AT288*CZ288,2),6)</f>
        <v>462.28</v>
      </c>
      <c r="DC288">
        <f t="shared" ref="DC288:DC294" si="121">ROUND(ROUND(AT288*AG288,2),6)</f>
        <v>0</v>
      </c>
      <c r="DD288" t="s">
        <v>3</v>
      </c>
      <c r="DE288" t="s">
        <v>3</v>
      </c>
      <c r="DF288">
        <f t="shared" ref="DF288:DF294" si="122">ROUND(ROUND(AE288*AI288,2)*CX288,2)</f>
        <v>553.35</v>
      </c>
      <c r="DG288">
        <f t="shared" si="114"/>
        <v>0</v>
      </c>
      <c r="DH288">
        <f t="shared" si="115"/>
        <v>0</v>
      </c>
      <c r="DI288">
        <f t="shared" si="103"/>
        <v>0</v>
      </c>
      <c r="DJ288">
        <f t="shared" ref="DJ288:DJ294" si="123">DF288</f>
        <v>553.35</v>
      </c>
      <c r="DK288">
        <v>0</v>
      </c>
      <c r="DL288" t="s">
        <v>3</v>
      </c>
      <c r="DM288">
        <v>0</v>
      </c>
      <c r="DN288" t="s">
        <v>3</v>
      </c>
      <c r="DO288">
        <v>0</v>
      </c>
    </row>
    <row r="289" spans="1:119" x14ac:dyDescent="0.2">
      <c r="A289">
        <f>ROW(Source!A267)</f>
        <v>267</v>
      </c>
      <c r="B289">
        <v>53860087</v>
      </c>
      <c r="C289">
        <v>54021107</v>
      </c>
      <c r="D289">
        <v>29558646</v>
      </c>
      <c r="E289">
        <v>1</v>
      </c>
      <c r="F289">
        <v>1</v>
      </c>
      <c r="G289">
        <v>29506949</v>
      </c>
      <c r="H289">
        <v>3</v>
      </c>
      <c r="I289" t="s">
        <v>814</v>
      </c>
      <c r="J289" t="s">
        <v>815</v>
      </c>
      <c r="K289" t="s">
        <v>816</v>
      </c>
      <c r="L289">
        <v>1296</v>
      </c>
      <c r="N289">
        <v>1002</v>
      </c>
      <c r="O289" t="s">
        <v>154</v>
      </c>
      <c r="P289" t="s">
        <v>154</v>
      </c>
      <c r="Q289">
        <v>1</v>
      </c>
      <c r="W289">
        <v>0</v>
      </c>
      <c r="X289">
        <v>2079983373</v>
      </c>
      <c r="Y289">
        <f t="shared" si="116"/>
        <v>6.1</v>
      </c>
      <c r="AA289">
        <v>516.75</v>
      </c>
      <c r="AB289">
        <v>0</v>
      </c>
      <c r="AC289">
        <v>0</v>
      </c>
      <c r="AD289">
        <v>0</v>
      </c>
      <c r="AE289">
        <v>125.73</v>
      </c>
      <c r="AF289">
        <v>0</v>
      </c>
      <c r="AG289">
        <v>0</v>
      </c>
      <c r="AH289">
        <v>0</v>
      </c>
      <c r="AI289">
        <v>4.1100000000000003</v>
      </c>
      <c r="AJ289">
        <v>1</v>
      </c>
      <c r="AK289">
        <v>1</v>
      </c>
      <c r="AL289">
        <v>1</v>
      </c>
      <c r="AM289">
        <v>2</v>
      </c>
      <c r="AN289">
        <v>0</v>
      </c>
      <c r="AO289">
        <v>1</v>
      </c>
      <c r="AP289">
        <v>1</v>
      </c>
      <c r="AQ289">
        <v>0</v>
      </c>
      <c r="AR289">
        <v>0</v>
      </c>
      <c r="AS289" t="s">
        <v>3</v>
      </c>
      <c r="AT289">
        <v>6.1</v>
      </c>
      <c r="AU289" t="s">
        <v>3</v>
      </c>
      <c r="AV289">
        <v>0</v>
      </c>
      <c r="AW289">
        <v>2</v>
      </c>
      <c r="AX289">
        <v>54021126</v>
      </c>
      <c r="AY289">
        <v>1</v>
      </c>
      <c r="AZ289">
        <v>0</v>
      </c>
      <c r="BA289">
        <v>403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CV289">
        <v>0</v>
      </c>
      <c r="CW289">
        <v>0</v>
      </c>
      <c r="CX289">
        <f>ROUND(Y289*Source!I267,9)</f>
        <v>4.2699999999999996</v>
      </c>
      <c r="CY289">
        <f t="shared" si="117"/>
        <v>516.75</v>
      </c>
      <c r="CZ289">
        <f t="shared" si="118"/>
        <v>125.73</v>
      </c>
      <c r="DA289">
        <f t="shared" si="119"/>
        <v>4.1100000000000003</v>
      </c>
      <c r="DB289">
        <f t="shared" si="120"/>
        <v>766.95</v>
      </c>
      <c r="DC289">
        <f t="shared" si="121"/>
        <v>0</v>
      </c>
      <c r="DD289" t="s">
        <v>3</v>
      </c>
      <c r="DE289" t="s">
        <v>3</v>
      </c>
      <c r="DF289">
        <f t="shared" si="122"/>
        <v>2206.52</v>
      </c>
      <c r="DG289">
        <f t="shared" si="114"/>
        <v>0</v>
      </c>
      <c r="DH289">
        <f t="shared" si="115"/>
        <v>0</v>
      </c>
      <c r="DI289">
        <f t="shared" si="103"/>
        <v>0</v>
      </c>
      <c r="DJ289">
        <f t="shared" si="123"/>
        <v>2206.52</v>
      </c>
      <c r="DK289">
        <v>0</v>
      </c>
      <c r="DL289" t="s">
        <v>3</v>
      </c>
      <c r="DM289">
        <v>0</v>
      </c>
      <c r="DN289" t="s">
        <v>3</v>
      </c>
      <c r="DO289">
        <v>0</v>
      </c>
    </row>
    <row r="290" spans="1:119" x14ac:dyDescent="0.2">
      <c r="A290">
        <f>ROW(Source!A267)</f>
        <v>267</v>
      </c>
      <c r="B290">
        <v>53860087</v>
      </c>
      <c r="C290">
        <v>54021107</v>
      </c>
      <c r="D290">
        <v>29555566</v>
      </c>
      <c r="E290">
        <v>1</v>
      </c>
      <c r="F290">
        <v>1</v>
      </c>
      <c r="G290">
        <v>29506949</v>
      </c>
      <c r="H290">
        <v>3</v>
      </c>
      <c r="I290" t="s">
        <v>817</v>
      </c>
      <c r="J290" t="s">
        <v>818</v>
      </c>
      <c r="K290" t="s">
        <v>819</v>
      </c>
      <c r="L290">
        <v>1339</v>
      </c>
      <c r="N290">
        <v>1007</v>
      </c>
      <c r="O290" t="s">
        <v>70</v>
      </c>
      <c r="P290" t="s">
        <v>70</v>
      </c>
      <c r="Q290">
        <v>1</v>
      </c>
      <c r="W290">
        <v>0</v>
      </c>
      <c r="X290">
        <v>1995860753</v>
      </c>
      <c r="Y290">
        <f t="shared" si="116"/>
        <v>1.6000000000000001E-3</v>
      </c>
      <c r="AA290">
        <v>8083.87</v>
      </c>
      <c r="AB290">
        <v>0</v>
      </c>
      <c r="AC290">
        <v>0</v>
      </c>
      <c r="AD290">
        <v>0</v>
      </c>
      <c r="AE290">
        <v>2472.13</v>
      </c>
      <c r="AF290">
        <v>0</v>
      </c>
      <c r="AG290">
        <v>0</v>
      </c>
      <c r="AH290">
        <v>0</v>
      </c>
      <c r="AI290">
        <v>3.27</v>
      </c>
      <c r="AJ290">
        <v>1</v>
      </c>
      <c r="AK290">
        <v>1</v>
      </c>
      <c r="AL290">
        <v>1</v>
      </c>
      <c r="AM290">
        <v>2</v>
      </c>
      <c r="AN290">
        <v>0</v>
      </c>
      <c r="AO290">
        <v>1</v>
      </c>
      <c r="AP290">
        <v>1</v>
      </c>
      <c r="AQ290">
        <v>0</v>
      </c>
      <c r="AR290">
        <v>0</v>
      </c>
      <c r="AS290" t="s">
        <v>3</v>
      </c>
      <c r="AT290">
        <v>1.6000000000000001E-3</v>
      </c>
      <c r="AU290" t="s">
        <v>3</v>
      </c>
      <c r="AV290">
        <v>0</v>
      </c>
      <c r="AW290">
        <v>2</v>
      </c>
      <c r="AX290">
        <v>54021127</v>
      </c>
      <c r="AY290">
        <v>1</v>
      </c>
      <c r="AZ290">
        <v>0</v>
      </c>
      <c r="BA290">
        <v>404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CV290">
        <v>0</v>
      </c>
      <c r="CW290">
        <v>0</v>
      </c>
      <c r="CX290">
        <f>ROUND(Y290*Source!I267,9)</f>
        <v>1.1199999999999999E-3</v>
      </c>
      <c r="CY290">
        <f t="shared" si="117"/>
        <v>8083.87</v>
      </c>
      <c r="CZ290">
        <f t="shared" si="118"/>
        <v>2472.13</v>
      </c>
      <c r="DA290">
        <f t="shared" si="119"/>
        <v>3.27</v>
      </c>
      <c r="DB290">
        <f t="shared" si="120"/>
        <v>3.96</v>
      </c>
      <c r="DC290">
        <f t="shared" si="121"/>
        <v>0</v>
      </c>
      <c r="DD290" t="s">
        <v>3</v>
      </c>
      <c r="DE290" t="s">
        <v>3</v>
      </c>
      <c r="DF290">
        <f t="shared" si="122"/>
        <v>9.0500000000000007</v>
      </c>
      <c r="DG290">
        <f t="shared" si="114"/>
        <v>0</v>
      </c>
      <c r="DH290">
        <f t="shared" si="115"/>
        <v>0</v>
      </c>
      <c r="DI290">
        <f t="shared" si="103"/>
        <v>0</v>
      </c>
      <c r="DJ290">
        <f t="shared" si="123"/>
        <v>9.0500000000000007</v>
      </c>
      <c r="DK290">
        <v>0</v>
      </c>
      <c r="DL290" t="s">
        <v>3</v>
      </c>
      <c r="DM290">
        <v>0</v>
      </c>
      <c r="DN290" t="s">
        <v>3</v>
      </c>
      <c r="DO290">
        <v>0</v>
      </c>
    </row>
    <row r="291" spans="1:119" x14ac:dyDescent="0.2">
      <c r="A291">
        <f>ROW(Source!A267)</f>
        <v>267</v>
      </c>
      <c r="B291">
        <v>53860087</v>
      </c>
      <c r="C291">
        <v>54021107</v>
      </c>
      <c r="D291">
        <v>29574109</v>
      </c>
      <c r="E291">
        <v>1</v>
      </c>
      <c r="F291">
        <v>1</v>
      </c>
      <c r="G291">
        <v>29506949</v>
      </c>
      <c r="H291">
        <v>3</v>
      </c>
      <c r="I291" t="s">
        <v>414</v>
      </c>
      <c r="J291" t="s">
        <v>416</v>
      </c>
      <c r="K291" t="s">
        <v>415</v>
      </c>
      <c r="L291">
        <v>1339</v>
      </c>
      <c r="N291">
        <v>1007</v>
      </c>
      <c r="O291" t="s">
        <v>70</v>
      </c>
      <c r="P291" t="s">
        <v>70</v>
      </c>
      <c r="Q291">
        <v>1</v>
      </c>
      <c r="W291">
        <v>0</v>
      </c>
      <c r="X291">
        <v>590295705</v>
      </c>
      <c r="Y291">
        <f t="shared" si="116"/>
        <v>0.01</v>
      </c>
      <c r="AA291">
        <v>4583.6499999999996</v>
      </c>
      <c r="AB291">
        <v>0</v>
      </c>
      <c r="AC291">
        <v>0</v>
      </c>
      <c r="AD291">
        <v>0</v>
      </c>
      <c r="AE291">
        <v>478.96</v>
      </c>
      <c r="AF291">
        <v>0</v>
      </c>
      <c r="AG291">
        <v>0</v>
      </c>
      <c r="AH291">
        <v>0</v>
      </c>
      <c r="AI291">
        <v>9.57</v>
      </c>
      <c r="AJ291">
        <v>1</v>
      </c>
      <c r="AK291">
        <v>1</v>
      </c>
      <c r="AL291">
        <v>1</v>
      </c>
      <c r="AM291">
        <v>2</v>
      </c>
      <c r="AN291">
        <v>0</v>
      </c>
      <c r="AO291">
        <v>1</v>
      </c>
      <c r="AP291">
        <v>1</v>
      </c>
      <c r="AQ291">
        <v>0</v>
      </c>
      <c r="AR291">
        <v>0</v>
      </c>
      <c r="AS291" t="s">
        <v>3</v>
      </c>
      <c r="AT291">
        <v>0.01</v>
      </c>
      <c r="AU291" t="s">
        <v>3</v>
      </c>
      <c r="AV291">
        <v>0</v>
      </c>
      <c r="AW291">
        <v>2</v>
      </c>
      <c r="AX291">
        <v>54021128</v>
      </c>
      <c r="AY291">
        <v>1</v>
      </c>
      <c r="AZ291">
        <v>0</v>
      </c>
      <c r="BA291">
        <v>405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CV291">
        <v>0</v>
      </c>
      <c r="CW291">
        <v>0</v>
      </c>
      <c r="CX291">
        <f>ROUND(Y291*Source!I267,9)</f>
        <v>7.0000000000000001E-3</v>
      </c>
      <c r="CY291">
        <f t="shared" si="117"/>
        <v>4583.6499999999996</v>
      </c>
      <c r="CZ291">
        <f t="shared" si="118"/>
        <v>478.96</v>
      </c>
      <c r="DA291">
        <f t="shared" si="119"/>
        <v>9.57</v>
      </c>
      <c r="DB291">
        <f t="shared" si="120"/>
        <v>4.79</v>
      </c>
      <c r="DC291">
        <f t="shared" si="121"/>
        <v>0</v>
      </c>
      <c r="DD291" t="s">
        <v>3</v>
      </c>
      <c r="DE291" t="s">
        <v>3</v>
      </c>
      <c r="DF291">
        <f t="shared" si="122"/>
        <v>32.090000000000003</v>
      </c>
      <c r="DG291">
        <f t="shared" si="114"/>
        <v>0</v>
      </c>
      <c r="DH291">
        <f t="shared" si="115"/>
        <v>0</v>
      </c>
      <c r="DI291">
        <f t="shared" si="103"/>
        <v>0</v>
      </c>
      <c r="DJ291">
        <f t="shared" si="123"/>
        <v>32.090000000000003</v>
      </c>
      <c r="DK291">
        <v>0</v>
      </c>
      <c r="DL291" t="s">
        <v>3</v>
      </c>
      <c r="DM291">
        <v>0</v>
      </c>
      <c r="DN291" t="s">
        <v>3</v>
      </c>
      <c r="DO291">
        <v>0</v>
      </c>
    </row>
    <row r="292" spans="1:119" x14ac:dyDescent="0.2">
      <c r="A292">
        <f>ROW(Source!A267)</f>
        <v>267</v>
      </c>
      <c r="B292">
        <v>53860087</v>
      </c>
      <c r="C292">
        <v>54021107</v>
      </c>
      <c r="D292">
        <v>29577756</v>
      </c>
      <c r="E292">
        <v>1</v>
      </c>
      <c r="F292">
        <v>1</v>
      </c>
      <c r="G292">
        <v>29506949</v>
      </c>
      <c r="H292">
        <v>3</v>
      </c>
      <c r="I292" t="s">
        <v>534</v>
      </c>
      <c r="J292" t="s">
        <v>537</v>
      </c>
      <c r="K292" t="s">
        <v>535</v>
      </c>
      <c r="L292">
        <v>1354</v>
      </c>
      <c r="N292">
        <v>1010</v>
      </c>
      <c r="O292" t="s">
        <v>536</v>
      </c>
      <c r="P292" t="s">
        <v>536</v>
      </c>
      <c r="Q292">
        <v>1</v>
      </c>
      <c r="W292">
        <v>0</v>
      </c>
      <c r="X292">
        <v>-1843065761</v>
      </c>
      <c r="Y292">
        <f t="shared" si="116"/>
        <v>10</v>
      </c>
      <c r="AA292">
        <v>28206.2</v>
      </c>
      <c r="AB292">
        <v>0</v>
      </c>
      <c r="AC292">
        <v>0</v>
      </c>
      <c r="AD292">
        <v>0</v>
      </c>
      <c r="AE292">
        <v>4764.5600000000004</v>
      </c>
      <c r="AF292">
        <v>0</v>
      </c>
      <c r="AG292">
        <v>0</v>
      </c>
      <c r="AH292">
        <v>0</v>
      </c>
      <c r="AI292">
        <v>5.92</v>
      </c>
      <c r="AJ292">
        <v>1</v>
      </c>
      <c r="AK292">
        <v>1</v>
      </c>
      <c r="AL292">
        <v>1</v>
      </c>
      <c r="AM292">
        <v>0</v>
      </c>
      <c r="AN292">
        <v>0</v>
      </c>
      <c r="AO292">
        <v>0</v>
      </c>
      <c r="AP292">
        <v>1</v>
      </c>
      <c r="AQ292">
        <v>0</v>
      </c>
      <c r="AR292">
        <v>0</v>
      </c>
      <c r="AS292" t="s">
        <v>3</v>
      </c>
      <c r="AT292">
        <v>10</v>
      </c>
      <c r="AU292" t="s">
        <v>3</v>
      </c>
      <c r="AV292">
        <v>0</v>
      </c>
      <c r="AW292">
        <v>1</v>
      </c>
      <c r="AX292">
        <v>-1</v>
      </c>
      <c r="AY292">
        <v>0</v>
      </c>
      <c r="AZ292">
        <v>0</v>
      </c>
      <c r="BA292" t="s">
        <v>3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CV292">
        <v>0</v>
      </c>
      <c r="CW292">
        <v>0</v>
      </c>
      <c r="CX292">
        <f>ROUND(Y292*Source!I267,9)</f>
        <v>7</v>
      </c>
      <c r="CY292">
        <f t="shared" si="117"/>
        <v>28206.2</v>
      </c>
      <c r="CZ292">
        <f t="shared" si="118"/>
        <v>4764.5600000000004</v>
      </c>
      <c r="DA292">
        <f t="shared" si="119"/>
        <v>5.92</v>
      </c>
      <c r="DB292">
        <f t="shared" si="120"/>
        <v>47645.599999999999</v>
      </c>
      <c r="DC292">
        <f t="shared" si="121"/>
        <v>0</v>
      </c>
      <c r="DD292" t="s">
        <v>3</v>
      </c>
      <c r="DE292" t="s">
        <v>3</v>
      </c>
      <c r="DF292">
        <f t="shared" si="122"/>
        <v>197443.4</v>
      </c>
      <c r="DG292">
        <f t="shared" si="114"/>
        <v>0</v>
      </c>
      <c r="DH292">
        <f t="shared" si="115"/>
        <v>0</v>
      </c>
      <c r="DI292">
        <f t="shared" si="103"/>
        <v>0</v>
      </c>
      <c r="DJ292">
        <f t="shared" si="123"/>
        <v>197443.4</v>
      </c>
      <c r="DK292">
        <v>0</v>
      </c>
      <c r="DL292" t="s">
        <v>3</v>
      </c>
      <c r="DM292">
        <v>0</v>
      </c>
      <c r="DN292" t="s">
        <v>3</v>
      </c>
      <c r="DO292">
        <v>0</v>
      </c>
    </row>
    <row r="293" spans="1:119" x14ac:dyDescent="0.2">
      <c r="A293">
        <f>ROW(Source!A267)</f>
        <v>267</v>
      </c>
      <c r="B293">
        <v>53860087</v>
      </c>
      <c r="C293">
        <v>54021107</v>
      </c>
      <c r="D293">
        <v>31659018</v>
      </c>
      <c r="E293">
        <v>1</v>
      </c>
      <c r="F293">
        <v>1</v>
      </c>
      <c r="G293">
        <v>29506949</v>
      </c>
      <c r="H293">
        <v>3</v>
      </c>
      <c r="I293" t="s">
        <v>820</v>
      </c>
      <c r="J293" t="s">
        <v>821</v>
      </c>
      <c r="K293" t="s">
        <v>822</v>
      </c>
      <c r="L293">
        <v>1354</v>
      </c>
      <c r="N293">
        <v>1010</v>
      </c>
      <c r="O293" t="s">
        <v>536</v>
      </c>
      <c r="P293" t="s">
        <v>536</v>
      </c>
      <c r="Q293">
        <v>1</v>
      </c>
      <c r="W293">
        <v>0</v>
      </c>
      <c r="X293">
        <v>1529606530</v>
      </c>
      <c r="Y293">
        <f t="shared" si="116"/>
        <v>0.6</v>
      </c>
      <c r="AA293">
        <v>154.82</v>
      </c>
      <c r="AB293">
        <v>0</v>
      </c>
      <c r="AC293">
        <v>0</v>
      </c>
      <c r="AD293">
        <v>0</v>
      </c>
      <c r="AE293">
        <v>14.23</v>
      </c>
      <c r="AF293">
        <v>0</v>
      </c>
      <c r="AG293">
        <v>0</v>
      </c>
      <c r="AH293">
        <v>0</v>
      </c>
      <c r="AI293">
        <v>10.88</v>
      </c>
      <c r="AJ293">
        <v>1</v>
      </c>
      <c r="AK293">
        <v>1</v>
      </c>
      <c r="AL293">
        <v>1</v>
      </c>
      <c r="AM293">
        <v>2</v>
      </c>
      <c r="AN293">
        <v>0</v>
      </c>
      <c r="AO293">
        <v>1</v>
      </c>
      <c r="AP293">
        <v>1</v>
      </c>
      <c r="AQ293">
        <v>0</v>
      </c>
      <c r="AR293">
        <v>0</v>
      </c>
      <c r="AS293" t="s">
        <v>3</v>
      </c>
      <c r="AT293">
        <v>0.6</v>
      </c>
      <c r="AU293" t="s">
        <v>3</v>
      </c>
      <c r="AV293">
        <v>0</v>
      </c>
      <c r="AW293">
        <v>2</v>
      </c>
      <c r="AX293">
        <v>54021129</v>
      </c>
      <c r="AY293">
        <v>1</v>
      </c>
      <c r="AZ293">
        <v>0</v>
      </c>
      <c r="BA293">
        <v>406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CV293">
        <v>0</v>
      </c>
      <c r="CW293">
        <v>0</v>
      </c>
      <c r="CX293">
        <f>ROUND(Y293*Source!I267,9)</f>
        <v>0.42</v>
      </c>
      <c r="CY293">
        <f t="shared" si="117"/>
        <v>154.82</v>
      </c>
      <c r="CZ293">
        <f t="shared" si="118"/>
        <v>14.23</v>
      </c>
      <c r="DA293">
        <f t="shared" si="119"/>
        <v>10.88</v>
      </c>
      <c r="DB293">
        <f t="shared" si="120"/>
        <v>8.5399999999999991</v>
      </c>
      <c r="DC293">
        <f t="shared" si="121"/>
        <v>0</v>
      </c>
      <c r="DD293" t="s">
        <v>3</v>
      </c>
      <c r="DE293" t="s">
        <v>3</v>
      </c>
      <c r="DF293">
        <f t="shared" si="122"/>
        <v>65.02</v>
      </c>
      <c r="DG293">
        <f t="shared" si="114"/>
        <v>0</v>
      </c>
      <c r="DH293">
        <f t="shared" si="115"/>
        <v>0</v>
      </c>
      <c r="DI293">
        <f t="shared" si="103"/>
        <v>0</v>
      </c>
      <c r="DJ293">
        <f t="shared" si="123"/>
        <v>65.02</v>
      </c>
      <c r="DK293">
        <v>0</v>
      </c>
      <c r="DL293" t="s">
        <v>3</v>
      </c>
      <c r="DM293">
        <v>0</v>
      </c>
      <c r="DN293" t="s">
        <v>3</v>
      </c>
      <c r="DO293">
        <v>0</v>
      </c>
    </row>
    <row r="294" spans="1:119" x14ac:dyDescent="0.2">
      <c r="A294">
        <f>ROW(Source!A267)</f>
        <v>267</v>
      </c>
      <c r="B294">
        <v>53860087</v>
      </c>
      <c r="C294">
        <v>54021107</v>
      </c>
      <c r="D294">
        <v>29577956</v>
      </c>
      <c r="E294">
        <v>1</v>
      </c>
      <c r="F294">
        <v>1</v>
      </c>
      <c r="G294">
        <v>29506949</v>
      </c>
      <c r="H294">
        <v>3</v>
      </c>
      <c r="I294" t="s">
        <v>823</v>
      </c>
      <c r="J294" t="s">
        <v>824</v>
      </c>
      <c r="K294" t="s">
        <v>825</v>
      </c>
      <c r="L294">
        <v>1354</v>
      </c>
      <c r="N294">
        <v>1010</v>
      </c>
      <c r="O294" t="s">
        <v>536</v>
      </c>
      <c r="P294" t="s">
        <v>536</v>
      </c>
      <c r="Q294">
        <v>1</v>
      </c>
      <c r="W294">
        <v>0</v>
      </c>
      <c r="X294">
        <v>253564179</v>
      </c>
      <c r="Y294">
        <f t="shared" si="116"/>
        <v>60</v>
      </c>
      <c r="AA294">
        <v>363.23</v>
      </c>
      <c r="AB294">
        <v>0</v>
      </c>
      <c r="AC294">
        <v>0</v>
      </c>
      <c r="AD294">
        <v>0</v>
      </c>
      <c r="AE294">
        <v>25.33</v>
      </c>
      <c r="AF294">
        <v>0</v>
      </c>
      <c r="AG294">
        <v>0</v>
      </c>
      <c r="AH294">
        <v>0</v>
      </c>
      <c r="AI294">
        <v>14.34</v>
      </c>
      <c r="AJ294">
        <v>1</v>
      </c>
      <c r="AK294">
        <v>1</v>
      </c>
      <c r="AL294">
        <v>1</v>
      </c>
      <c r="AM294">
        <v>2</v>
      </c>
      <c r="AN294">
        <v>0</v>
      </c>
      <c r="AO294">
        <v>1</v>
      </c>
      <c r="AP294">
        <v>1</v>
      </c>
      <c r="AQ294">
        <v>0</v>
      </c>
      <c r="AR294">
        <v>0</v>
      </c>
      <c r="AS294" t="s">
        <v>3</v>
      </c>
      <c r="AT294">
        <v>60</v>
      </c>
      <c r="AU294" t="s">
        <v>3</v>
      </c>
      <c r="AV294">
        <v>0</v>
      </c>
      <c r="AW294">
        <v>2</v>
      </c>
      <c r="AX294">
        <v>54021130</v>
      </c>
      <c r="AY294">
        <v>1</v>
      </c>
      <c r="AZ294">
        <v>0</v>
      </c>
      <c r="BA294">
        <v>407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CV294">
        <v>0</v>
      </c>
      <c r="CW294">
        <v>0</v>
      </c>
      <c r="CX294">
        <f>ROUND(Y294*Source!I267,9)</f>
        <v>42</v>
      </c>
      <c r="CY294">
        <f t="shared" si="117"/>
        <v>363.23</v>
      </c>
      <c r="CZ294">
        <f t="shared" si="118"/>
        <v>25.33</v>
      </c>
      <c r="DA294">
        <f t="shared" si="119"/>
        <v>14.34</v>
      </c>
      <c r="DB294">
        <f t="shared" si="120"/>
        <v>1519.8</v>
      </c>
      <c r="DC294">
        <f t="shared" si="121"/>
        <v>0</v>
      </c>
      <c r="DD294" t="s">
        <v>3</v>
      </c>
      <c r="DE294" t="s">
        <v>3</v>
      </c>
      <c r="DF294">
        <f t="shared" si="122"/>
        <v>15255.66</v>
      </c>
      <c r="DG294">
        <f t="shared" si="114"/>
        <v>0</v>
      </c>
      <c r="DH294">
        <f t="shared" si="115"/>
        <v>0</v>
      </c>
      <c r="DI294">
        <f t="shared" si="103"/>
        <v>0</v>
      </c>
      <c r="DJ294">
        <f t="shared" si="123"/>
        <v>15255.66</v>
      </c>
      <c r="DK294">
        <v>0</v>
      </c>
      <c r="DL294" t="s">
        <v>3</v>
      </c>
      <c r="DM294">
        <v>0</v>
      </c>
      <c r="DN294" t="s">
        <v>3</v>
      </c>
      <c r="DO294">
        <v>0</v>
      </c>
    </row>
    <row r="295" spans="1:119" x14ac:dyDescent="0.2">
      <c r="A295">
        <f>ROW(Source!A269)</f>
        <v>269</v>
      </c>
      <c r="B295">
        <v>53860087</v>
      </c>
      <c r="C295">
        <v>54021133</v>
      </c>
      <c r="D295">
        <v>29506954</v>
      </c>
      <c r="E295">
        <v>29506949</v>
      </c>
      <c r="F295">
        <v>1</v>
      </c>
      <c r="G295">
        <v>29506949</v>
      </c>
      <c r="H295">
        <v>1</v>
      </c>
      <c r="I295" t="s">
        <v>638</v>
      </c>
      <c r="J295" t="s">
        <v>3</v>
      </c>
      <c r="K295" t="s">
        <v>639</v>
      </c>
      <c r="L295">
        <v>1191</v>
      </c>
      <c r="N295">
        <v>1013</v>
      </c>
      <c r="O295" t="s">
        <v>640</v>
      </c>
      <c r="P295" t="s">
        <v>640</v>
      </c>
      <c r="Q295">
        <v>1</v>
      </c>
      <c r="W295">
        <v>0</v>
      </c>
      <c r="X295">
        <v>476480486</v>
      </c>
      <c r="Y295">
        <f>(AT295*1.15)</f>
        <v>1.2765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1</v>
      </c>
      <c r="AJ295">
        <v>1</v>
      </c>
      <c r="AK295">
        <v>1</v>
      </c>
      <c r="AL295">
        <v>1</v>
      </c>
      <c r="AM295">
        <v>-2</v>
      </c>
      <c r="AN295">
        <v>0</v>
      </c>
      <c r="AO295">
        <v>1</v>
      </c>
      <c r="AP295">
        <v>1</v>
      </c>
      <c r="AQ295">
        <v>0</v>
      </c>
      <c r="AR295">
        <v>0</v>
      </c>
      <c r="AS295" t="s">
        <v>3</v>
      </c>
      <c r="AT295">
        <v>1.1100000000000001</v>
      </c>
      <c r="AU295" t="s">
        <v>52</v>
      </c>
      <c r="AV295">
        <v>1</v>
      </c>
      <c r="AW295">
        <v>2</v>
      </c>
      <c r="AX295">
        <v>54021141</v>
      </c>
      <c r="AY295">
        <v>1</v>
      </c>
      <c r="AZ295">
        <v>0</v>
      </c>
      <c r="BA295">
        <v>409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CU295">
        <f>ROUND(AT295*Source!I269*AH295*AL295,2)</f>
        <v>0</v>
      </c>
      <c r="CV295">
        <f>ROUND(Y295*Source!I269,9)</f>
        <v>8.9354999999999993</v>
      </c>
      <c r="CW295">
        <v>0</v>
      </c>
      <c r="CX295">
        <f>ROUND(Y295*Source!I269,9)</f>
        <v>8.9354999999999993</v>
      </c>
      <c r="CY295">
        <f>AD295</f>
        <v>0</v>
      </c>
      <c r="CZ295">
        <f>AH295</f>
        <v>0</v>
      </c>
      <c r="DA295">
        <f>AL295</f>
        <v>1</v>
      </c>
      <c r="DB295">
        <f>ROUND((ROUND(AT295*CZ295,2)*1.15),6)</f>
        <v>0</v>
      </c>
      <c r="DC295">
        <f>ROUND((ROUND(AT295*AG295,2)*1.15),6)</f>
        <v>0</v>
      </c>
      <c r="DD295" t="s">
        <v>3</v>
      </c>
      <c r="DE295" t="s">
        <v>3</v>
      </c>
      <c r="DF295">
        <f>ROUND(ROUND(AE295,2)*CX295,2)</f>
        <v>0</v>
      </c>
      <c r="DG295">
        <f t="shared" si="114"/>
        <v>0</v>
      </c>
      <c r="DH295">
        <f t="shared" si="115"/>
        <v>0</v>
      </c>
      <c r="DI295">
        <f t="shared" si="103"/>
        <v>0</v>
      </c>
      <c r="DJ295">
        <f>DI295</f>
        <v>0</v>
      </c>
      <c r="DK295">
        <v>0</v>
      </c>
      <c r="DL295" t="s">
        <v>3</v>
      </c>
      <c r="DM295">
        <v>0</v>
      </c>
      <c r="DN295" t="s">
        <v>3</v>
      </c>
      <c r="DO295">
        <v>0</v>
      </c>
    </row>
    <row r="296" spans="1:119" x14ac:dyDescent="0.2">
      <c r="A296">
        <f>ROW(Source!A269)</f>
        <v>269</v>
      </c>
      <c r="B296">
        <v>53860087</v>
      </c>
      <c r="C296">
        <v>54021133</v>
      </c>
      <c r="D296">
        <v>29580208</v>
      </c>
      <c r="E296">
        <v>1</v>
      </c>
      <c r="F296">
        <v>1</v>
      </c>
      <c r="G296">
        <v>29506949</v>
      </c>
      <c r="H296">
        <v>2</v>
      </c>
      <c r="I296" t="s">
        <v>826</v>
      </c>
      <c r="J296" t="s">
        <v>827</v>
      </c>
      <c r="K296" t="s">
        <v>828</v>
      </c>
      <c r="L296">
        <v>1368</v>
      </c>
      <c r="N296">
        <v>1011</v>
      </c>
      <c r="O296" t="s">
        <v>647</v>
      </c>
      <c r="P296" t="s">
        <v>647</v>
      </c>
      <c r="Q296">
        <v>1</v>
      </c>
      <c r="W296">
        <v>0</v>
      </c>
      <c r="X296">
        <v>-1515164169</v>
      </c>
      <c r="Y296">
        <f>(AT296*1.25)</f>
        <v>0.32500000000000001</v>
      </c>
      <c r="AA296">
        <v>0</v>
      </c>
      <c r="AB296">
        <v>78.98</v>
      </c>
      <c r="AC296">
        <v>0</v>
      </c>
      <c r="AD296">
        <v>0</v>
      </c>
      <c r="AE296">
        <v>0</v>
      </c>
      <c r="AF296">
        <v>7.11</v>
      </c>
      <c r="AG296">
        <v>0</v>
      </c>
      <c r="AH296">
        <v>0</v>
      </c>
      <c r="AI296">
        <v>1</v>
      </c>
      <c r="AJ296">
        <v>10.61</v>
      </c>
      <c r="AK296">
        <v>30.1</v>
      </c>
      <c r="AL296">
        <v>1</v>
      </c>
      <c r="AM296">
        <v>2</v>
      </c>
      <c r="AN296">
        <v>0</v>
      </c>
      <c r="AO296">
        <v>1</v>
      </c>
      <c r="AP296">
        <v>1</v>
      </c>
      <c r="AQ296">
        <v>0</v>
      </c>
      <c r="AR296">
        <v>0</v>
      </c>
      <c r="AS296" t="s">
        <v>3</v>
      </c>
      <c r="AT296">
        <v>0.26</v>
      </c>
      <c r="AU296" t="s">
        <v>51</v>
      </c>
      <c r="AV296">
        <v>0</v>
      </c>
      <c r="AW296">
        <v>2</v>
      </c>
      <c r="AX296">
        <v>54021142</v>
      </c>
      <c r="AY296">
        <v>1</v>
      </c>
      <c r="AZ296">
        <v>0</v>
      </c>
      <c r="BA296">
        <v>410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CV296">
        <v>0</v>
      </c>
      <c r="CW296">
        <f>ROUND(Y296*Source!I269,9)</f>
        <v>2.2749999999999999</v>
      </c>
      <c r="CX296">
        <f>ROUND(Y296*Source!I269,9)</f>
        <v>2.2749999999999999</v>
      </c>
      <c r="CY296">
        <f>AB296</f>
        <v>78.98</v>
      </c>
      <c r="CZ296">
        <f>AF296</f>
        <v>7.11</v>
      </c>
      <c r="DA296">
        <f>AJ296</f>
        <v>10.61</v>
      </c>
      <c r="DB296">
        <f>ROUND((ROUND(AT296*CZ296,2)*1.25),6)</f>
        <v>2.3125</v>
      </c>
      <c r="DC296">
        <f>ROUND((ROUND(AT296*AG296,2)*1.25),6)</f>
        <v>0</v>
      </c>
      <c r="DD296" t="s">
        <v>3</v>
      </c>
      <c r="DE296" t="s">
        <v>3</v>
      </c>
      <c r="DF296">
        <f>ROUND(ROUND(AE296,2)*CX296,2)</f>
        <v>0</v>
      </c>
      <c r="DG296">
        <f>ROUND(ROUND(AF296*AJ296,2)*CX296,2)</f>
        <v>171.63</v>
      </c>
      <c r="DH296">
        <f>ROUND(ROUND(AG296*AK296,2)*CX296,2)</f>
        <v>0</v>
      </c>
      <c r="DI296">
        <f t="shared" si="103"/>
        <v>0</v>
      </c>
      <c r="DJ296">
        <f>DG296</f>
        <v>171.63</v>
      </c>
      <c r="DK296">
        <v>0</v>
      </c>
      <c r="DL296" t="s">
        <v>3</v>
      </c>
      <c r="DM296">
        <v>0</v>
      </c>
      <c r="DN296" t="s">
        <v>3</v>
      </c>
      <c r="DO296">
        <v>0</v>
      </c>
    </row>
    <row r="297" spans="1:119" x14ac:dyDescent="0.2">
      <c r="A297">
        <f>ROW(Source!A269)</f>
        <v>269</v>
      </c>
      <c r="B297">
        <v>53860087</v>
      </c>
      <c r="C297">
        <v>54021133</v>
      </c>
      <c r="D297">
        <v>29580613</v>
      </c>
      <c r="E297">
        <v>1</v>
      </c>
      <c r="F297">
        <v>1</v>
      </c>
      <c r="G297">
        <v>29506949</v>
      </c>
      <c r="H297">
        <v>2</v>
      </c>
      <c r="I297" t="s">
        <v>769</v>
      </c>
      <c r="J297" t="s">
        <v>770</v>
      </c>
      <c r="K297" t="s">
        <v>771</v>
      </c>
      <c r="L297">
        <v>1368</v>
      </c>
      <c r="N297">
        <v>1011</v>
      </c>
      <c r="O297" t="s">
        <v>647</v>
      </c>
      <c r="P297" t="s">
        <v>647</v>
      </c>
      <c r="Q297">
        <v>1</v>
      </c>
      <c r="W297">
        <v>0</v>
      </c>
      <c r="X297">
        <v>-694940319</v>
      </c>
      <c r="Y297">
        <f>(AT297*1.25)</f>
        <v>0.13750000000000001</v>
      </c>
      <c r="AA297">
        <v>0</v>
      </c>
      <c r="AB297">
        <v>7.06</v>
      </c>
      <c r="AC297">
        <v>0</v>
      </c>
      <c r="AD297">
        <v>0</v>
      </c>
      <c r="AE297">
        <v>0</v>
      </c>
      <c r="AF297">
        <v>0.8</v>
      </c>
      <c r="AG297">
        <v>0</v>
      </c>
      <c r="AH297">
        <v>0</v>
      </c>
      <c r="AI297">
        <v>1</v>
      </c>
      <c r="AJ297">
        <v>8.43</v>
      </c>
      <c r="AK297">
        <v>30.1</v>
      </c>
      <c r="AL297">
        <v>1</v>
      </c>
      <c r="AM297">
        <v>2</v>
      </c>
      <c r="AN297">
        <v>0</v>
      </c>
      <c r="AO297">
        <v>1</v>
      </c>
      <c r="AP297">
        <v>1</v>
      </c>
      <c r="AQ297">
        <v>0</v>
      </c>
      <c r="AR297">
        <v>0</v>
      </c>
      <c r="AS297" t="s">
        <v>3</v>
      </c>
      <c r="AT297">
        <v>0.11</v>
      </c>
      <c r="AU297" t="s">
        <v>51</v>
      </c>
      <c r="AV297">
        <v>0</v>
      </c>
      <c r="AW297">
        <v>2</v>
      </c>
      <c r="AX297">
        <v>54021143</v>
      </c>
      <c r="AY297">
        <v>1</v>
      </c>
      <c r="AZ297">
        <v>0</v>
      </c>
      <c r="BA297">
        <v>411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CV297">
        <v>0</v>
      </c>
      <c r="CW297">
        <f>ROUND(Y297*Source!I269,9)</f>
        <v>0.96250000000000002</v>
      </c>
      <c r="CX297">
        <f>ROUND(Y297*Source!I269,9)</f>
        <v>0.96250000000000002</v>
      </c>
      <c r="CY297">
        <f>AB297</f>
        <v>7.06</v>
      </c>
      <c r="CZ297">
        <f>AF297</f>
        <v>0.8</v>
      </c>
      <c r="DA297">
        <f>AJ297</f>
        <v>8.43</v>
      </c>
      <c r="DB297">
        <f>ROUND((ROUND(AT297*CZ297,2)*1.25),6)</f>
        <v>0.1125</v>
      </c>
      <c r="DC297">
        <f>ROUND((ROUND(AT297*AG297,2)*1.25),6)</f>
        <v>0</v>
      </c>
      <c r="DD297" t="s">
        <v>3</v>
      </c>
      <c r="DE297" t="s">
        <v>3</v>
      </c>
      <c r="DF297">
        <f>ROUND(ROUND(AE297,2)*CX297,2)</f>
        <v>0</v>
      </c>
      <c r="DG297">
        <f>ROUND(ROUND(AF297*AJ297,2)*CX297,2)</f>
        <v>6.49</v>
      </c>
      <c r="DH297">
        <f>ROUND(ROUND(AG297*AK297,2)*CX297,2)</f>
        <v>0</v>
      </c>
      <c r="DI297">
        <f t="shared" si="103"/>
        <v>0</v>
      </c>
      <c r="DJ297">
        <f>DG297</f>
        <v>6.49</v>
      </c>
      <c r="DK297">
        <v>0</v>
      </c>
      <c r="DL297" t="s">
        <v>3</v>
      </c>
      <c r="DM297">
        <v>0</v>
      </c>
      <c r="DN297" t="s">
        <v>3</v>
      </c>
      <c r="DO297">
        <v>0</v>
      </c>
    </row>
    <row r="298" spans="1:119" x14ac:dyDescent="0.2">
      <c r="A298">
        <f>ROW(Source!A269)</f>
        <v>269</v>
      </c>
      <c r="B298">
        <v>53860087</v>
      </c>
      <c r="C298">
        <v>54021133</v>
      </c>
      <c r="D298">
        <v>29580537</v>
      </c>
      <c r="E298">
        <v>1</v>
      </c>
      <c r="F298">
        <v>1</v>
      </c>
      <c r="G298">
        <v>29506949</v>
      </c>
      <c r="H298">
        <v>2</v>
      </c>
      <c r="I298" t="s">
        <v>829</v>
      </c>
      <c r="J298" t="s">
        <v>830</v>
      </c>
      <c r="K298" t="s">
        <v>831</v>
      </c>
      <c r="L298">
        <v>1368</v>
      </c>
      <c r="N298">
        <v>1011</v>
      </c>
      <c r="O298" t="s">
        <v>647</v>
      </c>
      <c r="P298" t="s">
        <v>647</v>
      </c>
      <c r="Q298">
        <v>1</v>
      </c>
      <c r="W298">
        <v>0</v>
      </c>
      <c r="X298">
        <v>10394117</v>
      </c>
      <c r="Y298">
        <f>(AT298*1.25)</f>
        <v>2.5000000000000001E-2</v>
      </c>
      <c r="AA298">
        <v>0</v>
      </c>
      <c r="AB298">
        <v>3.79</v>
      </c>
      <c r="AC298">
        <v>0</v>
      </c>
      <c r="AD298">
        <v>0</v>
      </c>
      <c r="AE298">
        <v>0</v>
      </c>
      <c r="AF298">
        <v>0.42</v>
      </c>
      <c r="AG298">
        <v>0</v>
      </c>
      <c r="AH298">
        <v>0</v>
      </c>
      <c r="AI298">
        <v>1</v>
      </c>
      <c r="AJ298">
        <v>8.6199999999999992</v>
      </c>
      <c r="AK298">
        <v>30.1</v>
      </c>
      <c r="AL298">
        <v>1</v>
      </c>
      <c r="AM298">
        <v>2</v>
      </c>
      <c r="AN298">
        <v>0</v>
      </c>
      <c r="AO298">
        <v>1</v>
      </c>
      <c r="AP298">
        <v>1</v>
      </c>
      <c r="AQ298">
        <v>0</v>
      </c>
      <c r="AR298">
        <v>0</v>
      </c>
      <c r="AS298" t="s">
        <v>3</v>
      </c>
      <c r="AT298">
        <v>0.02</v>
      </c>
      <c r="AU298" t="s">
        <v>51</v>
      </c>
      <c r="AV298">
        <v>0</v>
      </c>
      <c r="AW298">
        <v>2</v>
      </c>
      <c r="AX298">
        <v>54021144</v>
      </c>
      <c r="AY298">
        <v>1</v>
      </c>
      <c r="AZ298">
        <v>0</v>
      </c>
      <c r="BA298">
        <v>412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CV298">
        <v>0</v>
      </c>
      <c r="CW298">
        <f>ROUND(Y298*Source!I269,9)</f>
        <v>0.17499999999999999</v>
      </c>
      <c r="CX298">
        <f>ROUND(Y298*Source!I269,9)</f>
        <v>0.17499999999999999</v>
      </c>
      <c r="CY298">
        <f>AB298</f>
        <v>3.79</v>
      </c>
      <c r="CZ298">
        <f>AF298</f>
        <v>0.42</v>
      </c>
      <c r="DA298">
        <f>AJ298</f>
        <v>8.6199999999999992</v>
      </c>
      <c r="DB298">
        <f>ROUND((ROUND(AT298*CZ298,2)*1.25),6)</f>
        <v>1.2500000000000001E-2</v>
      </c>
      <c r="DC298">
        <f>ROUND((ROUND(AT298*AG298,2)*1.25),6)</f>
        <v>0</v>
      </c>
      <c r="DD298" t="s">
        <v>3</v>
      </c>
      <c r="DE298" t="s">
        <v>3</v>
      </c>
      <c r="DF298">
        <f>ROUND(ROUND(AE298,2)*CX298,2)</f>
        <v>0</v>
      </c>
      <c r="DG298">
        <f>ROUND(ROUND(AF298*AJ298,2)*CX298,2)</f>
        <v>0.63</v>
      </c>
      <c r="DH298">
        <f>ROUND(ROUND(AG298*AK298,2)*CX298,2)</f>
        <v>0</v>
      </c>
      <c r="DI298">
        <f t="shared" si="103"/>
        <v>0</v>
      </c>
      <c r="DJ298">
        <f>DG298</f>
        <v>0.63</v>
      </c>
      <c r="DK298">
        <v>0</v>
      </c>
      <c r="DL298" t="s">
        <v>3</v>
      </c>
      <c r="DM298">
        <v>0</v>
      </c>
      <c r="DN298" t="s">
        <v>3</v>
      </c>
      <c r="DO298">
        <v>0</v>
      </c>
    </row>
    <row r="299" spans="1:119" x14ac:dyDescent="0.2">
      <c r="A299">
        <f>ROW(Source!A269)</f>
        <v>269</v>
      </c>
      <c r="B299">
        <v>53860087</v>
      </c>
      <c r="C299">
        <v>54021133</v>
      </c>
      <c r="D299">
        <v>29580571</v>
      </c>
      <c r="E299">
        <v>1</v>
      </c>
      <c r="F299">
        <v>1</v>
      </c>
      <c r="G299">
        <v>29506949</v>
      </c>
      <c r="H299">
        <v>2</v>
      </c>
      <c r="I299" t="s">
        <v>644</v>
      </c>
      <c r="J299" t="s">
        <v>645</v>
      </c>
      <c r="K299" t="s">
        <v>646</v>
      </c>
      <c r="L299">
        <v>1368</v>
      </c>
      <c r="N299">
        <v>1011</v>
      </c>
      <c r="O299" t="s">
        <v>647</v>
      </c>
      <c r="P299" t="s">
        <v>647</v>
      </c>
      <c r="Q299">
        <v>1</v>
      </c>
      <c r="W299">
        <v>0</v>
      </c>
      <c r="X299">
        <v>-2099052417</v>
      </c>
      <c r="Y299">
        <f>(AT299*1.25)</f>
        <v>0.1875</v>
      </c>
      <c r="AA299">
        <v>0</v>
      </c>
      <c r="AB299">
        <v>4.21</v>
      </c>
      <c r="AC299">
        <v>0</v>
      </c>
      <c r="AD299">
        <v>0</v>
      </c>
      <c r="AE299">
        <v>0</v>
      </c>
      <c r="AF299">
        <v>0.47</v>
      </c>
      <c r="AG299">
        <v>0</v>
      </c>
      <c r="AH299">
        <v>0</v>
      </c>
      <c r="AI299">
        <v>1</v>
      </c>
      <c r="AJ299">
        <v>8.5500000000000007</v>
      </c>
      <c r="AK299">
        <v>30.1</v>
      </c>
      <c r="AL299">
        <v>1</v>
      </c>
      <c r="AM299">
        <v>2</v>
      </c>
      <c r="AN299">
        <v>0</v>
      </c>
      <c r="AO299">
        <v>1</v>
      </c>
      <c r="AP299">
        <v>1</v>
      </c>
      <c r="AQ299">
        <v>0</v>
      </c>
      <c r="AR299">
        <v>0</v>
      </c>
      <c r="AS299" t="s">
        <v>3</v>
      </c>
      <c r="AT299">
        <v>0.15</v>
      </c>
      <c r="AU299" t="s">
        <v>51</v>
      </c>
      <c r="AV299">
        <v>0</v>
      </c>
      <c r="AW299">
        <v>2</v>
      </c>
      <c r="AX299">
        <v>54021145</v>
      </c>
      <c r="AY299">
        <v>1</v>
      </c>
      <c r="AZ299">
        <v>0</v>
      </c>
      <c r="BA299">
        <v>413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CV299">
        <v>0</v>
      </c>
      <c r="CW299">
        <f>ROUND(Y299*Source!I269,9)</f>
        <v>1.3125</v>
      </c>
      <c r="CX299">
        <f>ROUND(Y299*Source!I269,9)</f>
        <v>1.3125</v>
      </c>
      <c r="CY299">
        <f>AB299</f>
        <v>4.21</v>
      </c>
      <c r="CZ299">
        <f>AF299</f>
        <v>0.47</v>
      </c>
      <c r="DA299">
        <f>AJ299</f>
        <v>8.5500000000000007</v>
      </c>
      <c r="DB299">
        <f>ROUND((ROUND(AT299*CZ299,2)*1.25),6)</f>
        <v>8.7499999999999994E-2</v>
      </c>
      <c r="DC299">
        <f>ROUND((ROUND(AT299*AG299,2)*1.25),6)</f>
        <v>0</v>
      </c>
      <c r="DD299" t="s">
        <v>3</v>
      </c>
      <c r="DE299" t="s">
        <v>3</v>
      </c>
      <c r="DF299">
        <f>ROUND(ROUND(AE299,2)*CX299,2)</f>
        <v>0</v>
      </c>
      <c r="DG299">
        <f>ROUND(ROUND(AF299*AJ299,2)*CX299,2)</f>
        <v>5.28</v>
      </c>
      <c r="DH299">
        <f>ROUND(ROUND(AG299*AK299,2)*CX299,2)</f>
        <v>0</v>
      </c>
      <c r="DI299">
        <f t="shared" si="103"/>
        <v>0</v>
      </c>
      <c r="DJ299">
        <f>DG299</f>
        <v>5.28</v>
      </c>
      <c r="DK299">
        <v>0</v>
      </c>
      <c r="DL299" t="s">
        <v>3</v>
      </c>
      <c r="DM299">
        <v>0</v>
      </c>
      <c r="DN299" t="s">
        <v>3</v>
      </c>
      <c r="DO299">
        <v>0</v>
      </c>
    </row>
    <row r="300" spans="1:119" x14ac:dyDescent="0.2">
      <c r="A300">
        <f>ROW(Source!A269)</f>
        <v>269</v>
      </c>
      <c r="B300">
        <v>53860087</v>
      </c>
      <c r="C300">
        <v>54021133</v>
      </c>
      <c r="D300">
        <v>29557846</v>
      </c>
      <c r="E300">
        <v>1</v>
      </c>
      <c r="F300">
        <v>1</v>
      </c>
      <c r="G300">
        <v>29506949</v>
      </c>
      <c r="H300">
        <v>3</v>
      </c>
      <c r="I300" t="s">
        <v>832</v>
      </c>
      <c r="J300" t="s">
        <v>833</v>
      </c>
      <c r="K300" t="s">
        <v>834</v>
      </c>
      <c r="L300">
        <v>1346</v>
      </c>
      <c r="N300">
        <v>1009</v>
      </c>
      <c r="O300" t="s">
        <v>58</v>
      </c>
      <c r="P300" t="s">
        <v>58</v>
      </c>
      <c r="Q300">
        <v>1</v>
      </c>
      <c r="W300">
        <v>0</v>
      </c>
      <c r="X300">
        <v>206862800</v>
      </c>
      <c r="Y300">
        <f>AT300</f>
        <v>0.02</v>
      </c>
      <c r="AA300">
        <v>118.03</v>
      </c>
      <c r="AB300">
        <v>0</v>
      </c>
      <c r="AC300">
        <v>0</v>
      </c>
      <c r="AD300">
        <v>0</v>
      </c>
      <c r="AE300">
        <v>20.63</v>
      </c>
      <c r="AF300">
        <v>0</v>
      </c>
      <c r="AG300">
        <v>0</v>
      </c>
      <c r="AH300">
        <v>0</v>
      </c>
      <c r="AI300">
        <v>5.71</v>
      </c>
      <c r="AJ300">
        <v>1</v>
      </c>
      <c r="AK300">
        <v>1</v>
      </c>
      <c r="AL300">
        <v>1</v>
      </c>
      <c r="AM300">
        <v>2</v>
      </c>
      <c r="AN300">
        <v>0</v>
      </c>
      <c r="AO300">
        <v>1</v>
      </c>
      <c r="AP300">
        <v>1</v>
      </c>
      <c r="AQ300">
        <v>0</v>
      </c>
      <c r="AR300">
        <v>0</v>
      </c>
      <c r="AS300" t="s">
        <v>3</v>
      </c>
      <c r="AT300">
        <v>0.02</v>
      </c>
      <c r="AU300" t="s">
        <v>3</v>
      </c>
      <c r="AV300">
        <v>0</v>
      </c>
      <c r="AW300">
        <v>2</v>
      </c>
      <c r="AX300">
        <v>54021146</v>
      </c>
      <c r="AY300">
        <v>1</v>
      </c>
      <c r="AZ300">
        <v>0</v>
      </c>
      <c r="BA300">
        <v>414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CV300">
        <v>0</v>
      </c>
      <c r="CW300">
        <v>0</v>
      </c>
      <c r="CX300">
        <f>ROUND(Y300*Source!I269,9)</f>
        <v>0.14000000000000001</v>
      </c>
      <c r="CY300">
        <f>AA300</f>
        <v>118.03</v>
      </c>
      <c r="CZ300">
        <f>AE300</f>
        <v>20.63</v>
      </c>
      <c r="DA300">
        <f>AI300</f>
        <v>5.71</v>
      </c>
      <c r="DB300">
        <f>ROUND(ROUND(AT300*CZ300,2),6)</f>
        <v>0.41</v>
      </c>
      <c r="DC300">
        <f>ROUND(ROUND(AT300*AG300,2),6)</f>
        <v>0</v>
      </c>
      <c r="DD300" t="s">
        <v>3</v>
      </c>
      <c r="DE300" t="s">
        <v>3</v>
      </c>
      <c r="DF300">
        <f>ROUND(ROUND(AE300*AI300,2)*CX300,2)</f>
        <v>16.489999999999998</v>
      </c>
      <c r="DG300">
        <f t="shared" ref="DG300:DG305" si="124">ROUND(ROUND(AF300,2)*CX300,2)</f>
        <v>0</v>
      </c>
      <c r="DH300">
        <f t="shared" ref="DH300:DH305" si="125">ROUND(ROUND(AG300,2)*CX300,2)</f>
        <v>0</v>
      </c>
      <c r="DI300">
        <f t="shared" si="103"/>
        <v>0</v>
      </c>
      <c r="DJ300">
        <f>DF300</f>
        <v>16.489999999999998</v>
      </c>
      <c r="DK300">
        <v>0</v>
      </c>
      <c r="DL300" t="s">
        <v>3</v>
      </c>
      <c r="DM300">
        <v>0</v>
      </c>
      <c r="DN300" t="s">
        <v>3</v>
      </c>
      <c r="DO300">
        <v>0</v>
      </c>
    </row>
    <row r="301" spans="1:119" x14ac:dyDescent="0.2">
      <c r="A301">
        <f>ROW(Source!A269)</f>
        <v>269</v>
      </c>
      <c r="B301">
        <v>53860087</v>
      </c>
      <c r="C301">
        <v>54021133</v>
      </c>
      <c r="D301">
        <v>29578805</v>
      </c>
      <c r="E301">
        <v>1</v>
      </c>
      <c r="F301">
        <v>1</v>
      </c>
      <c r="G301">
        <v>29506949</v>
      </c>
      <c r="H301">
        <v>3</v>
      </c>
      <c r="I301" t="s">
        <v>546</v>
      </c>
      <c r="J301" t="s">
        <v>548</v>
      </c>
      <c r="K301" t="s">
        <v>547</v>
      </c>
      <c r="L301">
        <v>1354</v>
      </c>
      <c r="N301">
        <v>1010</v>
      </c>
      <c r="O301" t="s">
        <v>536</v>
      </c>
      <c r="P301" t="s">
        <v>536</v>
      </c>
      <c r="Q301">
        <v>1</v>
      </c>
      <c r="W301">
        <v>0</v>
      </c>
      <c r="X301">
        <v>-1210024702</v>
      </c>
      <c r="Y301">
        <f>AT301</f>
        <v>1</v>
      </c>
      <c r="AA301">
        <v>1777.24</v>
      </c>
      <c r="AB301">
        <v>0</v>
      </c>
      <c r="AC301">
        <v>0</v>
      </c>
      <c r="AD301">
        <v>0</v>
      </c>
      <c r="AE301">
        <v>267.93</v>
      </c>
      <c r="AF301">
        <v>0</v>
      </c>
      <c r="AG301">
        <v>0</v>
      </c>
      <c r="AH301">
        <v>0</v>
      </c>
      <c r="AI301">
        <v>6.62</v>
      </c>
      <c r="AJ301">
        <v>1</v>
      </c>
      <c r="AK301">
        <v>1</v>
      </c>
      <c r="AL301">
        <v>1</v>
      </c>
      <c r="AM301">
        <v>0</v>
      </c>
      <c r="AN301">
        <v>0</v>
      </c>
      <c r="AO301">
        <v>0</v>
      </c>
      <c r="AP301">
        <v>1</v>
      </c>
      <c r="AQ301">
        <v>0</v>
      </c>
      <c r="AR301">
        <v>0</v>
      </c>
      <c r="AS301" t="s">
        <v>3</v>
      </c>
      <c r="AT301">
        <v>1</v>
      </c>
      <c r="AU301" t="s">
        <v>3</v>
      </c>
      <c r="AV301">
        <v>0</v>
      </c>
      <c r="AW301">
        <v>1</v>
      </c>
      <c r="AX301">
        <v>-1</v>
      </c>
      <c r="AY301">
        <v>0</v>
      </c>
      <c r="AZ301">
        <v>0</v>
      </c>
      <c r="BA301" t="s">
        <v>3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CV301">
        <v>0</v>
      </c>
      <c r="CW301">
        <v>0</v>
      </c>
      <c r="CX301">
        <f>ROUND(Y301*Source!I269,9)</f>
        <v>7</v>
      </c>
      <c r="CY301">
        <f>AA301</f>
        <v>1777.24</v>
      </c>
      <c r="CZ301">
        <f>AE301</f>
        <v>267.93</v>
      </c>
      <c r="DA301">
        <f>AI301</f>
        <v>6.62</v>
      </c>
      <c r="DB301">
        <f>ROUND(ROUND(AT301*CZ301,2),6)</f>
        <v>267.93</v>
      </c>
      <c r="DC301">
        <f>ROUND(ROUND(AT301*AG301,2),6)</f>
        <v>0</v>
      </c>
      <c r="DD301" t="s">
        <v>3</v>
      </c>
      <c r="DE301" t="s">
        <v>3</v>
      </c>
      <c r="DF301">
        <f>ROUND(ROUND(AE301*AI301,2)*CX301,2)</f>
        <v>12415.9</v>
      </c>
      <c r="DG301">
        <f t="shared" si="124"/>
        <v>0</v>
      </c>
      <c r="DH301">
        <f t="shared" si="125"/>
        <v>0</v>
      </c>
      <c r="DI301">
        <f t="shared" si="103"/>
        <v>0</v>
      </c>
      <c r="DJ301">
        <f>DF301</f>
        <v>12415.9</v>
      </c>
      <c r="DK301">
        <v>0</v>
      </c>
      <c r="DL301" t="s">
        <v>3</v>
      </c>
      <c r="DM301">
        <v>0</v>
      </c>
      <c r="DN301" t="s">
        <v>3</v>
      </c>
      <c r="DO301">
        <v>0</v>
      </c>
    </row>
    <row r="302" spans="1:119" x14ac:dyDescent="0.2">
      <c r="A302">
        <f>ROW(Source!A271)</f>
        <v>271</v>
      </c>
      <c r="B302">
        <v>53860087</v>
      </c>
      <c r="C302">
        <v>54021149</v>
      </c>
      <c r="D302">
        <v>29506954</v>
      </c>
      <c r="E302">
        <v>29506949</v>
      </c>
      <c r="F302">
        <v>1</v>
      </c>
      <c r="G302">
        <v>29506949</v>
      </c>
      <c r="H302">
        <v>1</v>
      </c>
      <c r="I302" t="s">
        <v>638</v>
      </c>
      <c r="J302" t="s">
        <v>3</v>
      </c>
      <c r="K302" t="s">
        <v>639</v>
      </c>
      <c r="L302">
        <v>1191</v>
      </c>
      <c r="N302">
        <v>1013</v>
      </c>
      <c r="O302" t="s">
        <v>640</v>
      </c>
      <c r="P302" t="s">
        <v>640</v>
      </c>
      <c r="Q302">
        <v>1</v>
      </c>
      <c r="W302">
        <v>0</v>
      </c>
      <c r="X302">
        <v>476480486</v>
      </c>
      <c r="Y302">
        <f>AT302</f>
        <v>385.2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1</v>
      </c>
      <c r="AJ302">
        <v>1</v>
      </c>
      <c r="AK302">
        <v>1</v>
      </c>
      <c r="AL302">
        <v>1</v>
      </c>
      <c r="AM302">
        <v>-2</v>
      </c>
      <c r="AN302">
        <v>0</v>
      </c>
      <c r="AO302">
        <v>1</v>
      </c>
      <c r="AP302">
        <v>1</v>
      </c>
      <c r="AQ302">
        <v>0</v>
      </c>
      <c r="AR302">
        <v>0</v>
      </c>
      <c r="AS302" t="s">
        <v>3</v>
      </c>
      <c r="AT302">
        <v>385.2</v>
      </c>
      <c r="AU302" t="s">
        <v>3</v>
      </c>
      <c r="AV302">
        <v>1</v>
      </c>
      <c r="AW302">
        <v>2</v>
      </c>
      <c r="AX302">
        <v>54021153</v>
      </c>
      <c r="AY302">
        <v>1</v>
      </c>
      <c r="AZ302">
        <v>0</v>
      </c>
      <c r="BA302">
        <v>416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CU302">
        <f>ROUND(AT302*Source!I271*AH302*AL302,2)</f>
        <v>0</v>
      </c>
      <c r="CV302">
        <f>ROUND(Y302*Source!I271,9)</f>
        <v>19.260000000000002</v>
      </c>
      <c r="CW302">
        <v>0</v>
      </c>
      <c r="CX302">
        <f>ROUND(Y302*Source!I271,9)</f>
        <v>19.260000000000002</v>
      </c>
      <c r="CY302">
        <f>AD302</f>
        <v>0</v>
      </c>
      <c r="CZ302">
        <f>AH302</f>
        <v>0</v>
      </c>
      <c r="DA302">
        <f>AL302</f>
        <v>1</v>
      </c>
      <c r="DB302">
        <f>ROUND(ROUND(AT302*CZ302,2),6)</f>
        <v>0</v>
      </c>
      <c r="DC302">
        <f>ROUND(ROUND(AT302*AG302,2),6)</f>
        <v>0</v>
      </c>
      <c r="DD302" t="s">
        <v>3</v>
      </c>
      <c r="DE302" t="s">
        <v>3</v>
      </c>
      <c r="DF302">
        <f>ROUND(ROUND(AE302,2)*CX302,2)</f>
        <v>0</v>
      </c>
      <c r="DG302">
        <f t="shared" si="124"/>
        <v>0</v>
      </c>
      <c r="DH302">
        <f t="shared" si="125"/>
        <v>0</v>
      </c>
      <c r="DI302">
        <f t="shared" si="103"/>
        <v>0</v>
      </c>
      <c r="DJ302">
        <f>DI302</f>
        <v>0</v>
      </c>
      <c r="DK302">
        <v>0</v>
      </c>
      <c r="DL302" t="s">
        <v>3</v>
      </c>
      <c r="DM302">
        <v>0</v>
      </c>
      <c r="DN302" t="s">
        <v>3</v>
      </c>
      <c r="DO302">
        <v>0</v>
      </c>
    </row>
    <row r="303" spans="1:119" x14ac:dyDescent="0.2">
      <c r="A303">
        <f>ROW(Source!A271)</f>
        <v>271</v>
      </c>
      <c r="B303">
        <v>53860087</v>
      </c>
      <c r="C303">
        <v>54021149</v>
      </c>
      <c r="D303">
        <v>29574116</v>
      </c>
      <c r="E303">
        <v>1</v>
      </c>
      <c r="F303">
        <v>1</v>
      </c>
      <c r="G303">
        <v>29506949</v>
      </c>
      <c r="H303">
        <v>3</v>
      </c>
      <c r="I303" t="s">
        <v>78</v>
      </c>
      <c r="J303" t="s">
        <v>80</v>
      </c>
      <c r="K303" t="s">
        <v>79</v>
      </c>
      <c r="L303">
        <v>1339</v>
      </c>
      <c r="N303">
        <v>1007</v>
      </c>
      <c r="O303" t="s">
        <v>70</v>
      </c>
      <c r="P303" t="s">
        <v>70</v>
      </c>
      <c r="Q303">
        <v>1</v>
      </c>
      <c r="W303">
        <v>0</v>
      </c>
      <c r="X303">
        <v>847230343</v>
      </c>
      <c r="Y303">
        <f>AT303</f>
        <v>4.4000000000000004</v>
      </c>
      <c r="AA303">
        <v>4152.17</v>
      </c>
      <c r="AB303">
        <v>0</v>
      </c>
      <c r="AC303">
        <v>0</v>
      </c>
      <c r="AD303">
        <v>0</v>
      </c>
      <c r="AE303">
        <v>481.69</v>
      </c>
      <c r="AF303">
        <v>0</v>
      </c>
      <c r="AG303">
        <v>0</v>
      </c>
      <c r="AH303">
        <v>0</v>
      </c>
      <c r="AI303">
        <v>8.6199999999999992</v>
      </c>
      <c r="AJ303">
        <v>1</v>
      </c>
      <c r="AK303">
        <v>1</v>
      </c>
      <c r="AL303">
        <v>1</v>
      </c>
      <c r="AM303">
        <v>0</v>
      </c>
      <c r="AN303">
        <v>0</v>
      </c>
      <c r="AO303">
        <v>0</v>
      </c>
      <c r="AP303">
        <v>1</v>
      </c>
      <c r="AQ303">
        <v>0</v>
      </c>
      <c r="AR303">
        <v>0</v>
      </c>
      <c r="AS303" t="s">
        <v>3</v>
      </c>
      <c r="AT303">
        <v>4.4000000000000004</v>
      </c>
      <c r="AU303" t="s">
        <v>3</v>
      </c>
      <c r="AV303">
        <v>0</v>
      </c>
      <c r="AW303">
        <v>1</v>
      </c>
      <c r="AX303">
        <v>-1</v>
      </c>
      <c r="AY303">
        <v>0</v>
      </c>
      <c r="AZ303">
        <v>0</v>
      </c>
      <c r="BA303" t="s">
        <v>3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CV303">
        <v>0</v>
      </c>
      <c r="CW303">
        <v>0</v>
      </c>
      <c r="CX303">
        <f>ROUND(Y303*Source!I271,9)</f>
        <v>0.22</v>
      </c>
      <c r="CY303">
        <f>AA303</f>
        <v>4152.17</v>
      </c>
      <c r="CZ303">
        <f>AE303</f>
        <v>481.69</v>
      </c>
      <c r="DA303">
        <f>AI303</f>
        <v>8.6199999999999992</v>
      </c>
      <c r="DB303">
        <f>ROUND(ROUND(AT303*CZ303,2),6)</f>
        <v>2119.44</v>
      </c>
      <c r="DC303">
        <f>ROUND(ROUND(AT303*AG303,2),6)</f>
        <v>0</v>
      </c>
      <c r="DD303" t="s">
        <v>3</v>
      </c>
      <c r="DE303" t="s">
        <v>3</v>
      </c>
      <c r="DF303">
        <f>ROUND(ROUND(AE303*AI303,2)*CX303,2)</f>
        <v>913.48</v>
      </c>
      <c r="DG303">
        <f t="shared" si="124"/>
        <v>0</v>
      </c>
      <c r="DH303">
        <f t="shared" si="125"/>
        <v>0</v>
      </c>
      <c r="DI303">
        <f t="shared" si="103"/>
        <v>0</v>
      </c>
      <c r="DJ303">
        <f>DF303</f>
        <v>913.48</v>
      </c>
      <c r="DK303">
        <v>0</v>
      </c>
      <c r="DL303" t="s">
        <v>3</v>
      </c>
      <c r="DM303">
        <v>0</v>
      </c>
      <c r="DN303" t="s">
        <v>3</v>
      </c>
      <c r="DO303">
        <v>0</v>
      </c>
    </row>
    <row r="304" spans="1:119" x14ac:dyDescent="0.2">
      <c r="A304">
        <f>ROW(Source!A271)</f>
        <v>271</v>
      </c>
      <c r="B304">
        <v>53860087</v>
      </c>
      <c r="C304">
        <v>54021149</v>
      </c>
      <c r="D304">
        <v>52542855</v>
      </c>
      <c r="E304">
        <v>29506949</v>
      </c>
      <c r="F304">
        <v>1</v>
      </c>
      <c r="G304">
        <v>29506949</v>
      </c>
      <c r="H304">
        <v>3</v>
      </c>
      <c r="I304" t="s">
        <v>648</v>
      </c>
      <c r="J304" t="s">
        <v>3</v>
      </c>
      <c r="K304" t="s">
        <v>649</v>
      </c>
      <c r="L304">
        <v>1348</v>
      </c>
      <c r="N304">
        <v>1009</v>
      </c>
      <c r="O304" t="s">
        <v>75</v>
      </c>
      <c r="P304" t="s">
        <v>75</v>
      </c>
      <c r="Q304">
        <v>1000</v>
      </c>
      <c r="W304">
        <v>0</v>
      </c>
      <c r="X304">
        <v>1489638031</v>
      </c>
      <c r="Y304">
        <f>AT304</f>
        <v>8.1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1</v>
      </c>
      <c r="AJ304">
        <v>1</v>
      </c>
      <c r="AK304">
        <v>1</v>
      </c>
      <c r="AL304">
        <v>1</v>
      </c>
      <c r="AM304">
        <v>-2</v>
      </c>
      <c r="AN304">
        <v>0</v>
      </c>
      <c r="AO304">
        <v>1</v>
      </c>
      <c r="AP304">
        <v>1</v>
      </c>
      <c r="AQ304">
        <v>0</v>
      </c>
      <c r="AR304">
        <v>0</v>
      </c>
      <c r="AS304" t="s">
        <v>3</v>
      </c>
      <c r="AT304">
        <v>8.1</v>
      </c>
      <c r="AU304" t="s">
        <v>3</v>
      </c>
      <c r="AV304">
        <v>0</v>
      </c>
      <c r="AW304">
        <v>2</v>
      </c>
      <c r="AX304">
        <v>54021155</v>
      </c>
      <c r="AY304">
        <v>1</v>
      </c>
      <c r="AZ304">
        <v>0</v>
      </c>
      <c r="BA304">
        <v>418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CV304">
        <v>0</v>
      </c>
      <c r="CW304">
        <v>0</v>
      </c>
      <c r="CX304">
        <f>ROUND(Y304*Source!I271,9)</f>
        <v>0.40500000000000003</v>
      </c>
      <c r="CY304">
        <f>AA304</f>
        <v>0</v>
      </c>
      <c r="CZ304">
        <f>AE304</f>
        <v>0</v>
      </c>
      <c r="DA304">
        <f>AI304</f>
        <v>1</v>
      </c>
      <c r="DB304">
        <f>ROUND(ROUND(AT304*CZ304,2),6)</f>
        <v>0</v>
      </c>
      <c r="DC304">
        <f>ROUND(ROUND(AT304*AG304,2),6)</f>
        <v>0</v>
      </c>
      <c r="DD304" t="s">
        <v>3</v>
      </c>
      <c r="DE304" t="s">
        <v>3</v>
      </c>
      <c r="DF304">
        <f>ROUND(ROUND(AE304,2)*CX304,2)</f>
        <v>0</v>
      </c>
      <c r="DG304">
        <f t="shared" si="124"/>
        <v>0</v>
      </c>
      <c r="DH304">
        <f t="shared" si="125"/>
        <v>0</v>
      </c>
      <c r="DI304">
        <f t="shared" si="103"/>
        <v>0</v>
      </c>
      <c r="DJ304">
        <f>DF304</f>
        <v>0</v>
      </c>
      <c r="DK304">
        <v>0</v>
      </c>
      <c r="DL304" t="s">
        <v>3</v>
      </c>
      <c r="DM304">
        <v>0</v>
      </c>
      <c r="DN304" t="s">
        <v>3</v>
      </c>
      <c r="DO304">
        <v>0</v>
      </c>
    </row>
    <row r="305" spans="1:119" x14ac:dyDescent="0.2">
      <c r="A305">
        <f>ROW(Source!A273)</f>
        <v>273</v>
      </c>
      <c r="B305">
        <v>53860087</v>
      </c>
      <c r="C305">
        <v>54021157</v>
      </c>
      <c r="D305">
        <v>29506954</v>
      </c>
      <c r="E305">
        <v>29506949</v>
      </c>
      <c r="F305">
        <v>1</v>
      </c>
      <c r="G305">
        <v>29506949</v>
      </c>
      <c r="H305">
        <v>1</v>
      </c>
      <c r="I305" t="s">
        <v>638</v>
      </c>
      <c r="J305" t="s">
        <v>3</v>
      </c>
      <c r="K305" t="s">
        <v>639</v>
      </c>
      <c r="L305">
        <v>1191</v>
      </c>
      <c r="N305">
        <v>1013</v>
      </c>
      <c r="O305" t="s">
        <v>640</v>
      </c>
      <c r="P305" t="s">
        <v>640</v>
      </c>
      <c r="Q305">
        <v>1</v>
      </c>
      <c r="W305">
        <v>0</v>
      </c>
      <c r="X305">
        <v>476480486</v>
      </c>
      <c r="Y305">
        <f>(AT305*1.15)</f>
        <v>50.094000000000001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1</v>
      </c>
      <c r="AJ305">
        <v>1</v>
      </c>
      <c r="AK305">
        <v>1</v>
      </c>
      <c r="AL305">
        <v>1</v>
      </c>
      <c r="AM305">
        <v>-2</v>
      </c>
      <c r="AN305">
        <v>0</v>
      </c>
      <c r="AO305">
        <v>1</v>
      </c>
      <c r="AP305">
        <v>1</v>
      </c>
      <c r="AQ305">
        <v>0</v>
      </c>
      <c r="AR305">
        <v>0</v>
      </c>
      <c r="AS305" t="s">
        <v>3</v>
      </c>
      <c r="AT305">
        <v>43.56</v>
      </c>
      <c r="AU305" t="s">
        <v>52</v>
      </c>
      <c r="AV305">
        <v>1</v>
      </c>
      <c r="AW305">
        <v>2</v>
      </c>
      <c r="AX305">
        <v>54021165</v>
      </c>
      <c r="AY305">
        <v>1</v>
      </c>
      <c r="AZ305">
        <v>0</v>
      </c>
      <c r="BA305">
        <v>419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CU305">
        <f>ROUND(AT305*Source!I273*AH305*AL305,2)</f>
        <v>0</v>
      </c>
      <c r="CV305">
        <f>ROUND(Y305*Source!I273,9)</f>
        <v>2.5047000000000001</v>
      </c>
      <c r="CW305">
        <v>0</v>
      </c>
      <c r="CX305">
        <f>ROUND(Y305*Source!I273,9)</f>
        <v>2.5047000000000001</v>
      </c>
      <c r="CY305">
        <f>AD305</f>
        <v>0</v>
      </c>
      <c r="CZ305">
        <f>AH305</f>
        <v>0</v>
      </c>
      <c r="DA305">
        <f>AL305</f>
        <v>1</v>
      </c>
      <c r="DB305">
        <f>ROUND((ROUND(AT305*CZ305,2)*1.15),6)</f>
        <v>0</v>
      </c>
      <c r="DC305">
        <f>ROUND((ROUND(AT305*AG305,2)*1.15),6)</f>
        <v>0</v>
      </c>
      <c r="DD305" t="s">
        <v>3</v>
      </c>
      <c r="DE305" t="s">
        <v>3</v>
      </c>
      <c r="DF305">
        <f>ROUND(ROUND(AE305,2)*CX305,2)</f>
        <v>0</v>
      </c>
      <c r="DG305">
        <f t="shared" si="124"/>
        <v>0</v>
      </c>
      <c r="DH305">
        <f t="shared" si="125"/>
        <v>0</v>
      </c>
      <c r="DI305">
        <f t="shared" si="103"/>
        <v>0</v>
      </c>
      <c r="DJ305">
        <f>DI305</f>
        <v>0</v>
      </c>
      <c r="DK305">
        <v>0</v>
      </c>
      <c r="DL305" t="s">
        <v>3</v>
      </c>
      <c r="DM305">
        <v>0</v>
      </c>
      <c r="DN305" t="s">
        <v>3</v>
      </c>
      <c r="DO305">
        <v>0</v>
      </c>
    </row>
    <row r="306" spans="1:119" x14ac:dyDescent="0.2">
      <c r="A306">
        <f>ROW(Source!A273)</f>
        <v>273</v>
      </c>
      <c r="B306">
        <v>53860087</v>
      </c>
      <c r="C306">
        <v>54021157</v>
      </c>
      <c r="D306">
        <v>29580491</v>
      </c>
      <c r="E306">
        <v>1</v>
      </c>
      <c r="F306">
        <v>1</v>
      </c>
      <c r="G306">
        <v>29506949</v>
      </c>
      <c r="H306">
        <v>2</v>
      </c>
      <c r="I306" t="s">
        <v>650</v>
      </c>
      <c r="J306" t="s">
        <v>651</v>
      </c>
      <c r="K306" t="s">
        <v>652</v>
      </c>
      <c r="L306">
        <v>1368</v>
      </c>
      <c r="N306">
        <v>1011</v>
      </c>
      <c r="O306" t="s">
        <v>647</v>
      </c>
      <c r="P306" t="s">
        <v>647</v>
      </c>
      <c r="Q306">
        <v>1</v>
      </c>
      <c r="W306">
        <v>0</v>
      </c>
      <c r="X306">
        <v>-1440889904</v>
      </c>
      <c r="Y306">
        <f>(AT306*1.25)</f>
        <v>0.1875</v>
      </c>
      <c r="AA306">
        <v>0</v>
      </c>
      <c r="AB306">
        <v>1029.8</v>
      </c>
      <c r="AC306">
        <v>389.36</v>
      </c>
      <c r="AD306">
        <v>0</v>
      </c>
      <c r="AE306">
        <v>0</v>
      </c>
      <c r="AF306">
        <v>83.1</v>
      </c>
      <c r="AG306">
        <v>12.62</v>
      </c>
      <c r="AH306">
        <v>0</v>
      </c>
      <c r="AI306">
        <v>1</v>
      </c>
      <c r="AJ306">
        <v>12.09</v>
      </c>
      <c r="AK306">
        <v>30.1</v>
      </c>
      <c r="AL306">
        <v>1</v>
      </c>
      <c r="AM306">
        <v>2</v>
      </c>
      <c r="AN306">
        <v>0</v>
      </c>
      <c r="AO306">
        <v>1</v>
      </c>
      <c r="AP306">
        <v>1</v>
      </c>
      <c r="AQ306">
        <v>0</v>
      </c>
      <c r="AR306">
        <v>0</v>
      </c>
      <c r="AS306" t="s">
        <v>3</v>
      </c>
      <c r="AT306">
        <v>0.15</v>
      </c>
      <c r="AU306" t="s">
        <v>51</v>
      </c>
      <c r="AV306">
        <v>0</v>
      </c>
      <c r="AW306">
        <v>2</v>
      </c>
      <c r="AX306">
        <v>54021166</v>
      </c>
      <c r="AY306">
        <v>1</v>
      </c>
      <c r="AZ306">
        <v>0</v>
      </c>
      <c r="BA306">
        <v>420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CV306">
        <v>0</v>
      </c>
      <c r="CW306">
        <f>ROUND(Y306*Source!I273,9)</f>
        <v>9.3749999999999997E-3</v>
      </c>
      <c r="CX306">
        <f>ROUND(Y306*Source!I273,9)</f>
        <v>9.3749999999999997E-3</v>
      </c>
      <c r="CY306">
        <f>AB306</f>
        <v>1029.8</v>
      </c>
      <c r="CZ306">
        <f>AF306</f>
        <v>83.1</v>
      </c>
      <c r="DA306">
        <f>AJ306</f>
        <v>12.09</v>
      </c>
      <c r="DB306">
        <f>ROUND((ROUND(AT306*CZ306,2)*1.25),6)</f>
        <v>15.5875</v>
      </c>
      <c r="DC306">
        <f>ROUND((ROUND(AT306*AG306,2)*1.25),6)</f>
        <v>2.3624999999999998</v>
      </c>
      <c r="DD306" t="s">
        <v>3</v>
      </c>
      <c r="DE306" t="s">
        <v>3</v>
      </c>
      <c r="DF306">
        <f>ROUND(ROUND(AE306,2)*CX306,2)</f>
        <v>0</v>
      </c>
      <c r="DG306">
        <f>ROUND(ROUND(AF306*AJ306,2)*CX306,2)</f>
        <v>9.42</v>
      </c>
      <c r="DH306">
        <f>ROUND(ROUND(AG306*AK306,2)*CX306,2)</f>
        <v>3.56</v>
      </c>
      <c r="DI306">
        <f t="shared" si="103"/>
        <v>0</v>
      </c>
      <c r="DJ306">
        <f>DG306</f>
        <v>9.42</v>
      </c>
      <c r="DK306">
        <v>0</v>
      </c>
      <c r="DL306" t="s">
        <v>3</v>
      </c>
      <c r="DM306">
        <v>0</v>
      </c>
      <c r="DN306" t="s">
        <v>3</v>
      </c>
      <c r="DO306">
        <v>0</v>
      </c>
    </row>
    <row r="307" spans="1:119" x14ac:dyDescent="0.2">
      <c r="A307">
        <f>ROW(Source!A273)</f>
        <v>273</v>
      </c>
      <c r="B307">
        <v>53860087</v>
      </c>
      <c r="C307">
        <v>54021157</v>
      </c>
      <c r="D307">
        <v>29555595</v>
      </c>
      <c r="E307">
        <v>1</v>
      </c>
      <c r="F307">
        <v>1</v>
      </c>
      <c r="G307">
        <v>29506949</v>
      </c>
      <c r="H307">
        <v>3</v>
      </c>
      <c r="I307" t="s">
        <v>656</v>
      </c>
      <c r="J307" t="s">
        <v>657</v>
      </c>
      <c r="K307" t="s">
        <v>658</v>
      </c>
      <c r="L307">
        <v>1346</v>
      </c>
      <c r="N307">
        <v>1009</v>
      </c>
      <c r="O307" t="s">
        <v>58</v>
      </c>
      <c r="P307" t="s">
        <v>58</v>
      </c>
      <c r="Q307">
        <v>1</v>
      </c>
      <c r="W307">
        <v>0</v>
      </c>
      <c r="X307">
        <v>622621594</v>
      </c>
      <c r="Y307">
        <f t="shared" ref="Y307:Y312" si="126">AT307</f>
        <v>0.31</v>
      </c>
      <c r="AA307">
        <v>53.55</v>
      </c>
      <c r="AB307">
        <v>0</v>
      </c>
      <c r="AC307">
        <v>0</v>
      </c>
      <c r="AD307">
        <v>0</v>
      </c>
      <c r="AE307">
        <v>1.61</v>
      </c>
      <c r="AF307">
        <v>0</v>
      </c>
      <c r="AG307">
        <v>0</v>
      </c>
      <c r="AH307">
        <v>0</v>
      </c>
      <c r="AI307">
        <v>33.26</v>
      </c>
      <c r="AJ307">
        <v>1</v>
      </c>
      <c r="AK307">
        <v>1</v>
      </c>
      <c r="AL307">
        <v>1</v>
      </c>
      <c r="AM307">
        <v>2</v>
      </c>
      <c r="AN307">
        <v>0</v>
      </c>
      <c r="AO307">
        <v>1</v>
      </c>
      <c r="AP307">
        <v>1</v>
      </c>
      <c r="AQ307">
        <v>0</v>
      </c>
      <c r="AR307">
        <v>0</v>
      </c>
      <c r="AS307" t="s">
        <v>3</v>
      </c>
      <c r="AT307">
        <v>0.31</v>
      </c>
      <c r="AU307" t="s">
        <v>3</v>
      </c>
      <c r="AV307">
        <v>0</v>
      </c>
      <c r="AW307">
        <v>2</v>
      </c>
      <c r="AX307">
        <v>54021167</v>
      </c>
      <c r="AY307">
        <v>1</v>
      </c>
      <c r="AZ307">
        <v>0</v>
      </c>
      <c r="BA307">
        <v>421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CV307">
        <v>0</v>
      </c>
      <c r="CW307">
        <v>0</v>
      </c>
      <c r="CX307">
        <f>ROUND(Y307*Source!I273,9)</f>
        <v>1.55E-2</v>
      </c>
      <c r="CY307">
        <f>AA307</f>
        <v>53.55</v>
      </c>
      <c r="CZ307">
        <f>AE307</f>
        <v>1.61</v>
      </c>
      <c r="DA307">
        <f>AI307</f>
        <v>33.26</v>
      </c>
      <c r="DB307">
        <f t="shared" ref="DB307:DB312" si="127">ROUND(ROUND(AT307*CZ307,2),6)</f>
        <v>0.5</v>
      </c>
      <c r="DC307">
        <f t="shared" ref="DC307:DC312" si="128">ROUND(ROUND(AT307*AG307,2),6)</f>
        <v>0</v>
      </c>
      <c r="DD307" t="s">
        <v>3</v>
      </c>
      <c r="DE307" t="s">
        <v>3</v>
      </c>
      <c r="DF307">
        <f>ROUND(ROUND(AE307*AI307,2)*CX307,2)</f>
        <v>0.83</v>
      </c>
      <c r="DG307">
        <f t="shared" ref="DG307:DG313" si="129">ROUND(ROUND(AF307,2)*CX307,2)</f>
        <v>0</v>
      </c>
      <c r="DH307">
        <f t="shared" ref="DH307:DH313" si="130">ROUND(ROUND(AG307,2)*CX307,2)</f>
        <v>0</v>
      </c>
      <c r="DI307">
        <f t="shared" si="103"/>
        <v>0</v>
      </c>
      <c r="DJ307">
        <f>DF307</f>
        <v>0.83</v>
      </c>
      <c r="DK307">
        <v>0</v>
      </c>
      <c r="DL307" t="s">
        <v>3</v>
      </c>
      <c r="DM307">
        <v>0</v>
      </c>
      <c r="DN307" t="s">
        <v>3</v>
      </c>
      <c r="DO307">
        <v>0</v>
      </c>
    </row>
    <row r="308" spans="1:119" x14ac:dyDescent="0.2">
      <c r="A308">
        <f>ROW(Source!A273)</f>
        <v>273</v>
      </c>
      <c r="B308">
        <v>53860087</v>
      </c>
      <c r="C308">
        <v>54021157</v>
      </c>
      <c r="D308">
        <v>29556811</v>
      </c>
      <c r="E308">
        <v>1</v>
      </c>
      <c r="F308">
        <v>1</v>
      </c>
      <c r="G308">
        <v>29506949</v>
      </c>
      <c r="H308">
        <v>3</v>
      </c>
      <c r="I308" t="s">
        <v>659</v>
      </c>
      <c r="J308" t="s">
        <v>660</v>
      </c>
      <c r="K308" t="s">
        <v>661</v>
      </c>
      <c r="L308">
        <v>1327</v>
      </c>
      <c r="N308">
        <v>1005</v>
      </c>
      <c r="O308" t="s">
        <v>100</v>
      </c>
      <c r="P308" t="s">
        <v>100</v>
      </c>
      <c r="Q308">
        <v>1</v>
      </c>
      <c r="W308">
        <v>0</v>
      </c>
      <c r="X308">
        <v>1579706749</v>
      </c>
      <c r="Y308">
        <f t="shared" si="126"/>
        <v>0.84</v>
      </c>
      <c r="AA308">
        <v>151.84</v>
      </c>
      <c r="AB308">
        <v>0</v>
      </c>
      <c r="AC308">
        <v>0</v>
      </c>
      <c r="AD308">
        <v>0</v>
      </c>
      <c r="AE308">
        <v>104</v>
      </c>
      <c r="AF308">
        <v>0</v>
      </c>
      <c r="AG308">
        <v>0</v>
      </c>
      <c r="AH308">
        <v>0</v>
      </c>
      <c r="AI308">
        <v>1.46</v>
      </c>
      <c r="AJ308">
        <v>1</v>
      </c>
      <c r="AK308">
        <v>1</v>
      </c>
      <c r="AL308">
        <v>1</v>
      </c>
      <c r="AM308">
        <v>2</v>
      </c>
      <c r="AN308">
        <v>0</v>
      </c>
      <c r="AO308">
        <v>1</v>
      </c>
      <c r="AP308">
        <v>1</v>
      </c>
      <c r="AQ308">
        <v>0</v>
      </c>
      <c r="AR308">
        <v>0</v>
      </c>
      <c r="AS308" t="s">
        <v>3</v>
      </c>
      <c r="AT308">
        <v>0.84</v>
      </c>
      <c r="AU308" t="s">
        <v>3</v>
      </c>
      <c r="AV308">
        <v>0</v>
      </c>
      <c r="AW308">
        <v>2</v>
      </c>
      <c r="AX308">
        <v>54021168</v>
      </c>
      <c r="AY308">
        <v>1</v>
      </c>
      <c r="AZ308">
        <v>0</v>
      </c>
      <c r="BA308">
        <v>422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CV308">
        <v>0</v>
      </c>
      <c r="CW308">
        <v>0</v>
      </c>
      <c r="CX308">
        <f>ROUND(Y308*Source!I273,9)</f>
        <v>4.2000000000000003E-2</v>
      </c>
      <c r="CY308">
        <f>AA308</f>
        <v>151.84</v>
      </c>
      <c r="CZ308">
        <f>AE308</f>
        <v>104</v>
      </c>
      <c r="DA308">
        <f>AI308</f>
        <v>1.46</v>
      </c>
      <c r="DB308">
        <f t="shared" si="127"/>
        <v>87.36</v>
      </c>
      <c r="DC308">
        <f t="shared" si="128"/>
        <v>0</v>
      </c>
      <c r="DD308" t="s">
        <v>3</v>
      </c>
      <c r="DE308" t="s">
        <v>3</v>
      </c>
      <c r="DF308">
        <f>ROUND(ROUND(AE308*AI308,2)*CX308,2)</f>
        <v>6.38</v>
      </c>
      <c r="DG308">
        <f t="shared" si="129"/>
        <v>0</v>
      </c>
      <c r="DH308">
        <f t="shared" si="130"/>
        <v>0</v>
      </c>
      <c r="DI308">
        <f t="shared" si="103"/>
        <v>0</v>
      </c>
      <c r="DJ308">
        <f>DF308</f>
        <v>6.38</v>
      </c>
      <c r="DK308">
        <v>0</v>
      </c>
      <c r="DL308" t="s">
        <v>3</v>
      </c>
      <c r="DM308">
        <v>0</v>
      </c>
      <c r="DN308" t="s">
        <v>3</v>
      </c>
      <c r="DO308">
        <v>0</v>
      </c>
    </row>
    <row r="309" spans="1:119" x14ac:dyDescent="0.2">
      <c r="A309">
        <f>ROW(Source!A273)</f>
        <v>273</v>
      </c>
      <c r="B309">
        <v>53860087</v>
      </c>
      <c r="C309">
        <v>54021157</v>
      </c>
      <c r="D309">
        <v>29556824</v>
      </c>
      <c r="E309">
        <v>1</v>
      </c>
      <c r="F309">
        <v>1</v>
      </c>
      <c r="G309">
        <v>29506949</v>
      </c>
      <c r="H309">
        <v>3</v>
      </c>
      <c r="I309" t="s">
        <v>662</v>
      </c>
      <c r="J309" t="s">
        <v>663</v>
      </c>
      <c r="K309" t="s">
        <v>664</v>
      </c>
      <c r="L309">
        <v>1348</v>
      </c>
      <c r="N309">
        <v>1009</v>
      </c>
      <c r="O309" t="s">
        <v>75</v>
      </c>
      <c r="P309" t="s">
        <v>75</v>
      </c>
      <c r="Q309">
        <v>1000</v>
      </c>
      <c r="W309">
        <v>0</v>
      </c>
      <c r="X309">
        <v>580281819</v>
      </c>
      <c r="Y309">
        <f t="shared" si="126"/>
        <v>5.0999999999999997E-2</v>
      </c>
      <c r="AA309">
        <v>44232.91</v>
      </c>
      <c r="AB309">
        <v>0</v>
      </c>
      <c r="AC309">
        <v>0</v>
      </c>
      <c r="AD309">
        <v>0</v>
      </c>
      <c r="AE309">
        <v>13953.6</v>
      </c>
      <c r="AF309">
        <v>0</v>
      </c>
      <c r="AG309">
        <v>0</v>
      </c>
      <c r="AH309">
        <v>0</v>
      </c>
      <c r="AI309">
        <v>3.17</v>
      </c>
      <c r="AJ309">
        <v>1</v>
      </c>
      <c r="AK309">
        <v>1</v>
      </c>
      <c r="AL309">
        <v>1</v>
      </c>
      <c r="AM309">
        <v>2</v>
      </c>
      <c r="AN309">
        <v>0</v>
      </c>
      <c r="AO309">
        <v>1</v>
      </c>
      <c r="AP309">
        <v>1</v>
      </c>
      <c r="AQ309">
        <v>0</v>
      </c>
      <c r="AR309">
        <v>0</v>
      </c>
      <c r="AS309" t="s">
        <v>3</v>
      </c>
      <c r="AT309">
        <v>5.0999999999999997E-2</v>
      </c>
      <c r="AU309" t="s">
        <v>3</v>
      </c>
      <c r="AV309">
        <v>0</v>
      </c>
      <c r="AW309">
        <v>2</v>
      </c>
      <c r="AX309">
        <v>54021169</v>
      </c>
      <c r="AY309">
        <v>1</v>
      </c>
      <c r="AZ309">
        <v>0</v>
      </c>
      <c r="BA309">
        <v>423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CV309">
        <v>0</v>
      </c>
      <c r="CW309">
        <v>0</v>
      </c>
      <c r="CX309">
        <f>ROUND(Y309*Source!I273,9)</f>
        <v>2.5500000000000002E-3</v>
      </c>
      <c r="CY309">
        <f>AA309</f>
        <v>44232.91</v>
      </c>
      <c r="CZ309">
        <f>AE309</f>
        <v>13953.6</v>
      </c>
      <c r="DA309">
        <f>AI309</f>
        <v>3.17</v>
      </c>
      <c r="DB309">
        <f t="shared" si="127"/>
        <v>711.63</v>
      </c>
      <c r="DC309">
        <f t="shared" si="128"/>
        <v>0</v>
      </c>
      <c r="DD309" t="s">
        <v>3</v>
      </c>
      <c r="DE309" t="s">
        <v>3</v>
      </c>
      <c r="DF309">
        <f>ROUND(ROUND(AE309*AI309,2)*CX309,2)</f>
        <v>112.79</v>
      </c>
      <c r="DG309">
        <f t="shared" si="129"/>
        <v>0</v>
      </c>
      <c r="DH309">
        <f t="shared" si="130"/>
        <v>0</v>
      </c>
      <c r="DI309">
        <f t="shared" si="103"/>
        <v>0</v>
      </c>
      <c r="DJ309">
        <f>DF309</f>
        <v>112.79</v>
      </c>
      <c r="DK309">
        <v>0</v>
      </c>
      <c r="DL309" t="s">
        <v>3</v>
      </c>
      <c r="DM309">
        <v>0</v>
      </c>
      <c r="DN309" t="s">
        <v>3</v>
      </c>
      <c r="DO309">
        <v>0</v>
      </c>
    </row>
    <row r="310" spans="1:119" x14ac:dyDescent="0.2">
      <c r="A310">
        <f>ROW(Source!A273)</f>
        <v>273</v>
      </c>
      <c r="B310">
        <v>53860087</v>
      </c>
      <c r="C310">
        <v>54021157</v>
      </c>
      <c r="D310">
        <v>29557964</v>
      </c>
      <c r="E310">
        <v>1</v>
      </c>
      <c r="F310">
        <v>1</v>
      </c>
      <c r="G310">
        <v>29506949</v>
      </c>
      <c r="H310">
        <v>3</v>
      </c>
      <c r="I310" t="s">
        <v>56</v>
      </c>
      <c r="J310" t="s">
        <v>59</v>
      </c>
      <c r="K310" t="s">
        <v>57</v>
      </c>
      <c r="L310">
        <v>1346</v>
      </c>
      <c r="N310">
        <v>1009</v>
      </c>
      <c r="O310" t="s">
        <v>58</v>
      </c>
      <c r="P310" t="s">
        <v>58</v>
      </c>
      <c r="Q310">
        <v>1</v>
      </c>
      <c r="W310">
        <v>0</v>
      </c>
      <c r="X310">
        <v>33071459</v>
      </c>
      <c r="Y310">
        <f t="shared" si="126"/>
        <v>20</v>
      </c>
      <c r="AA310">
        <v>103.75</v>
      </c>
      <c r="AB310">
        <v>0</v>
      </c>
      <c r="AC310">
        <v>0</v>
      </c>
      <c r="AD310">
        <v>0</v>
      </c>
      <c r="AE310">
        <v>28.98</v>
      </c>
      <c r="AF310">
        <v>0</v>
      </c>
      <c r="AG310">
        <v>0</v>
      </c>
      <c r="AH310">
        <v>0</v>
      </c>
      <c r="AI310">
        <v>3.58</v>
      </c>
      <c r="AJ310">
        <v>1</v>
      </c>
      <c r="AK310">
        <v>1</v>
      </c>
      <c r="AL310">
        <v>1</v>
      </c>
      <c r="AM310">
        <v>0</v>
      </c>
      <c r="AN310">
        <v>0</v>
      </c>
      <c r="AO310">
        <v>0</v>
      </c>
      <c r="AP310">
        <v>1</v>
      </c>
      <c r="AQ310">
        <v>0</v>
      </c>
      <c r="AR310">
        <v>0</v>
      </c>
      <c r="AS310" t="s">
        <v>3</v>
      </c>
      <c r="AT310">
        <v>20</v>
      </c>
      <c r="AU310" t="s">
        <v>3</v>
      </c>
      <c r="AV310">
        <v>0</v>
      </c>
      <c r="AW310">
        <v>1</v>
      </c>
      <c r="AX310">
        <v>-1</v>
      </c>
      <c r="AY310">
        <v>0</v>
      </c>
      <c r="AZ310">
        <v>0</v>
      </c>
      <c r="BA310" t="s">
        <v>3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CV310">
        <v>0</v>
      </c>
      <c r="CW310">
        <v>0</v>
      </c>
      <c r="CX310">
        <f>ROUND(Y310*Source!I273,9)</f>
        <v>1</v>
      </c>
      <c r="CY310">
        <f>AA310</f>
        <v>103.75</v>
      </c>
      <c r="CZ310">
        <f>AE310</f>
        <v>28.98</v>
      </c>
      <c r="DA310">
        <f>AI310</f>
        <v>3.58</v>
      </c>
      <c r="DB310">
        <f t="shared" si="127"/>
        <v>579.6</v>
      </c>
      <c r="DC310">
        <f t="shared" si="128"/>
        <v>0</v>
      </c>
      <c r="DD310" t="s">
        <v>3</v>
      </c>
      <c r="DE310" t="s">
        <v>3</v>
      </c>
      <c r="DF310">
        <f>ROUND(ROUND(AE310*AI310,2)*CX310,2)</f>
        <v>103.75</v>
      </c>
      <c r="DG310">
        <f t="shared" si="129"/>
        <v>0</v>
      </c>
      <c r="DH310">
        <f t="shared" si="130"/>
        <v>0</v>
      </c>
      <c r="DI310">
        <f t="shared" si="103"/>
        <v>0</v>
      </c>
      <c r="DJ310">
        <f>DF310</f>
        <v>103.75</v>
      </c>
      <c r="DK310">
        <v>0</v>
      </c>
      <c r="DL310" t="s">
        <v>3</v>
      </c>
      <c r="DM310">
        <v>0</v>
      </c>
      <c r="DN310" t="s">
        <v>3</v>
      </c>
      <c r="DO310">
        <v>0</v>
      </c>
    </row>
    <row r="311" spans="1:119" x14ac:dyDescent="0.2">
      <c r="A311">
        <f>ROW(Source!A273)</f>
        <v>273</v>
      </c>
      <c r="B311">
        <v>53860087</v>
      </c>
      <c r="C311">
        <v>54021157</v>
      </c>
      <c r="D311">
        <v>29558996</v>
      </c>
      <c r="E311">
        <v>1</v>
      </c>
      <c r="F311">
        <v>1</v>
      </c>
      <c r="G311">
        <v>29506949</v>
      </c>
      <c r="H311">
        <v>3</v>
      </c>
      <c r="I311" t="s">
        <v>89</v>
      </c>
      <c r="J311" t="s">
        <v>90</v>
      </c>
      <c r="K311" t="s">
        <v>976</v>
      </c>
      <c r="L311">
        <v>1346</v>
      </c>
      <c r="N311">
        <v>1009</v>
      </c>
      <c r="O311" t="s">
        <v>58</v>
      </c>
      <c r="P311" t="s">
        <v>58</v>
      </c>
      <c r="Q311">
        <v>1</v>
      </c>
      <c r="W311">
        <v>0</v>
      </c>
      <c r="X311">
        <v>-1515598087</v>
      </c>
      <c r="Y311">
        <f t="shared" si="126"/>
        <v>30</v>
      </c>
      <c r="AA311">
        <v>513.11</v>
      </c>
      <c r="AB311">
        <v>0</v>
      </c>
      <c r="AC311">
        <v>0</v>
      </c>
      <c r="AD311">
        <v>0</v>
      </c>
      <c r="AE311">
        <v>108.25</v>
      </c>
      <c r="AF311">
        <v>0</v>
      </c>
      <c r="AG311">
        <v>0</v>
      </c>
      <c r="AH311">
        <v>0</v>
      </c>
      <c r="AI311">
        <v>4.74</v>
      </c>
      <c r="AJ311">
        <v>1</v>
      </c>
      <c r="AK311">
        <v>1</v>
      </c>
      <c r="AL311">
        <v>1</v>
      </c>
      <c r="AM311">
        <v>0</v>
      </c>
      <c r="AN311">
        <v>0</v>
      </c>
      <c r="AO311">
        <v>0</v>
      </c>
      <c r="AP311">
        <v>1</v>
      </c>
      <c r="AQ311">
        <v>0</v>
      </c>
      <c r="AR311">
        <v>0</v>
      </c>
      <c r="AS311" t="s">
        <v>3</v>
      </c>
      <c r="AT311">
        <v>30</v>
      </c>
      <c r="AU311" t="s">
        <v>3</v>
      </c>
      <c r="AV311">
        <v>0</v>
      </c>
      <c r="AW311">
        <v>1</v>
      </c>
      <c r="AX311">
        <v>-1</v>
      </c>
      <c r="AY311">
        <v>0</v>
      </c>
      <c r="AZ311">
        <v>0</v>
      </c>
      <c r="BA311" t="s">
        <v>3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CV311">
        <v>0</v>
      </c>
      <c r="CW311">
        <v>0</v>
      </c>
      <c r="CX311">
        <f>ROUND(Y311*Source!I273,9)</f>
        <v>1.5</v>
      </c>
      <c r="CY311">
        <f>AA311</f>
        <v>513.11</v>
      </c>
      <c r="CZ311">
        <f>AE311</f>
        <v>108.25</v>
      </c>
      <c r="DA311">
        <f>AI311</f>
        <v>4.74</v>
      </c>
      <c r="DB311">
        <f t="shared" si="127"/>
        <v>3247.5</v>
      </c>
      <c r="DC311">
        <f t="shared" si="128"/>
        <v>0</v>
      </c>
      <c r="DD311" t="s">
        <v>3</v>
      </c>
      <c r="DE311" t="s">
        <v>3</v>
      </c>
      <c r="DF311">
        <f>ROUND(ROUND(AE311*AI311,2)*CX311,2)</f>
        <v>769.67</v>
      </c>
      <c r="DG311">
        <f t="shared" si="129"/>
        <v>0</v>
      </c>
      <c r="DH311">
        <f t="shared" si="130"/>
        <v>0</v>
      </c>
      <c r="DI311">
        <f t="shared" si="103"/>
        <v>0</v>
      </c>
      <c r="DJ311">
        <f>DF311</f>
        <v>769.67</v>
      </c>
      <c r="DK311">
        <v>0</v>
      </c>
      <c r="DL311" t="s">
        <v>3</v>
      </c>
      <c r="DM311">
        <v>0</v>
      </c>
      <c r="DN311" t="s">
        <v>3</v>
      </c>
      <c r="DO311">
        <v>0</v>
      </c>
    </row>
    <row r="312" spans="1:119" x14ac:dyDescent="0.2">
      <c r="A312">
        <f>ROW(Source!A311)</f>
        <v>311</v>
      </c>
      <c r="B312">
        <v>53860087</v>
      </c>
      <c r="C312">
        <v>54046348</v>
      </c>
      <c r="D312">
        <v>29506954</v>
      </c>
      <c r="E312">
        <v>29506949</v>
      </c>
      <c r="F312">
        <v>1</v>
      </c>
      <c r="G312">
        <v>29506949</v>
      </c>
      <c r="H312">
        <v>1</v>
      </c>
      <c r="I312" t="s">
        <v>638</v>
      </c>
      <c r="J312" t="s">
        <v>3</v>
      </c>
      <c r="K312" t="s">
        <v>639</v>
      </c>
      <c r="L312">
        <v>1191</v>
      </c>
      <c r="N312">
        <v>1013</v>
      </c>
      <c r="O312" t="s">
        <v>640</v>
      </c>
      <c r="P312" t="s">
        <v>640</v>
      </c>
      <c r="Q312">
        <v>1</v>
      </c>
      <c r="W312">
        <v>0</v>
      </c>
      <c r="X312">
        <v>476480486</v>
      </c>
      <c r="Y312">
        <f t="shared" si="126"/>
        <v>165.39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1</v>
      </c>
      <c r="AJ312">
        <v>1</v>
      </c>
      <c r="AK312">
        <v>1</v>
      </c>
      <c r="AL312">
        <v>1</v>
      </c>
      <c r="AM312">
        <v>-2</v>
      </c>
      <c r="AN312">
        <v>0</v>
      </c>
      <c r="AO312">
        <v>1</v>
      </c>
      <c r="AP312">
        <v>1</v>
      </c>
      <c r="AQ312">
        <v>0</v>
      </c>
      <c r="AR312">
        <v>0</v>
      </c>
      <c r="AS312" t="s">
        <v>3</v>
      </c>
      <c r="AT312">
        <v>165.39</v>
      </c>
      <c r="AU312" t="s">
        <v>3</v>
      </c>
      <c r="AV312">
        <v>1</v>
      </c>
      <c r="AW312">
        <v>2</v>
      </c>
      <c r="AX312">
        <v>54046350</v>
      </c>
      <c r="AY312">
        <v>1</v>
      </c>
      <c r="AZ312">
        <v>0</v>
      </c>
      <c r="BA312">
        <v>426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CU312">
        <f>ROUND(AT312*Source!I311*AH312*AL312,2)</f>
        <v>0</v>
      </c>
      <c r="CV312">
        <f>ROUND(Y312*Source!I311,9)</f>
        <v>29.770199999999999</v>
      </c>
      <c r="CW312">
        <v>0</v>
      </c>
      <c r="CX312">
        <f>ROUND(Y312*Source!I311,9)</f>
        <v>29.770199999999999</v>
      </c>
      <c r="CY312">
        <f>AD312</f>
        <v>0</v>
      </c>
      <c r="CZ312">
        <f>AH312</f>
        <v>0</v>
      </c>
      <c r="DA312">
        <f>AL312</f>
        <v>1</v>
      </c>
      <c r="DB312">
        <f t="shared" si="127"/>
        <v>0</v>
      </c>
      <c r="DC312">
        <f t="shared" si="128"/>
        <v>0</v>
      </c>
      <c r="DD312" t="s">
        <v>3</v>
      </c>
      <c r="DE312" t="s">
        <v>3</v>
      </c>
      <c r="DF312">
        <f t="shared" ref="DF312:DF317" si="131">ROUND(ROUND(AE312,2)*CX312,2)</f>
        <v>0</v>
      </c>
      <c r="DG312">
        <f t="shared" si="129"/>
        <v>0</v>
      </c>
      <c r="DH312">
        <f t="shared" si="130"/>
        <v>0</v>
      </c>
      <c r="DI312">
        <f t="shared" si="103"/>
        <v>0</v>
      </c>
      <c r="DJ312">
        <f>DI312</f>
        <v>0</v>
      </c>
      <c r="DK312">
        <v>0</v>
      </c>
      <c r="DL312" t="s">
        <v>3</v>
      </c>
      <c r="DM312">
        <v>0</v>
      </c>
      <c r="DN312" t="s">
        <v>3</v>
      </c>
      <c r="DO312">
        <v>0</v>
      </c>
    </row>
    <row r="313" spans="1:119" x14ac:dyDescent="0.2">
      <c r="A313">
        <f>ROW(Source!A312)</f>
        <v>312</v>
      </c>
      <c r="B313">
        <v>53860087</v>
      </c>
      <c r="C313">
        <v>54046351</v>
      </c>
      <c r="D313">
        <v>29506954</v>
      </c>
      <c r="E313">
        <v>29506949</v>
      </c>
      <c r="F313">
        <v>1</v>
      </c>
      <c r="G313">
        <v>29506949</v>
      </c>
      <c r="H313">
        <v>1</v>
      </c>
      <c r="I313" t="s">
        <v>638</v>
      </c>
      <c r="J313" t="s">
        <v>3</v>
      </c>
      <c r="K313" t="s">
        <v>639</v>
      </c>
      <c r="L313">
        <v>1191</v>
      </c>
      <c r="N313">
        <v>1013</v>
      </c>
      <c r="O313" t="s">
        <v>640</v>
      </c>
      <c r="P313" t="s">
        <v>640</v>
      </c>
      <c r="Q313">
        <v>1</v>
      </c>
      <c r="W313">
        <v>0</v>
      </c>
      <c r="X313">
        <v>476480486</v>
      </c>
      <c r="Y313">
        <f>(AT313*1.15)</f>
        <v>246.20349999999999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1</v>
      </c>
      <c r="AJ313">
        <v>1</v>
      </c>
      <c r="AK313">
        <v>1</v>
      </c>
      <c r="AL313">
        <v>1</v>
      </c>
      <c r="AM313">
        <v>-2</v>
      </c>
      <c r="AN313">
        <v>0</v>
      </c>
      <c r="AO313">
        <v>1</v>
      </c>
      <c r="AP313">
        <v>1</v>
      </c>
      <c r="AQ313">
        <v>0</v>
      </c>
      <c r="AR313">
        <v>0</v>
      </c>
      <c r="AS313" t="s">
        <v>3</v>
      </c>
      <c r="AT313">
        <v>214.09</v>
      </c>
      <c r="AU313" t="s">
        <v>52</v>
      </c>
      <c r="AV313">
        <v>1</v>
      </c>
      <c r="AW313">
        <v>2</v>
      </c>
      <c r="AX313">
        <v>54046363</v>
      </c>
      <c r="AY313">
        <v>1</v>
      </c>
      <c r="AZ313">
        <v>0</v>
      </c>
      <c r="BA313">
        <v>427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CU313">
        <f>ROUND(AT313*Source!I312*AH313*AL313,2)</f>
        <v>0</v>
      </c>
      <c r="CV313">
        <f>ROUND(Y313*Source!I312,9)</f>
        <v>44.316630000000004</v>
      </c>
      <c r="CW313">
        <v>0</v>
      </c>
      <c r="CX313">
        <f>ROUND(Y313*Source!I312,9)</f>
        <v>44.316630000000004</v>
      </c>
      <c r="CY313">
        <f>AD313</f>
        <v>0</v>
      </c>
      <c r="CZ313">
        <f>AH313</f>
        <v>0</v>
      </c>
      <c r="DA313">
        <f>AL313</f>
        <v>1</v>
      </c>
      <c r="DB313">
        <f>ROUND((ROUND(AT313*CZ313,2)*1.15),6)</f>
        <v>0</v>
      </c>
      <c r="DC313">
        <f>ROUND((ROUND(AT313*AG313,2)*1.15),6)</f>
        <v>0</v>
      </c>
      <c r="DD313" t="s">
        <v>3</v>
      </c>
      <c r="DE313" t="s">
        <v>3</v>
      </c>
      <c r="DF313">
        <f t="shared" si="131"/>
        <v>0</v>
      </c>
      <c r="DG313">
        <f t="shared" si="129"/>
        <v>0</v>
      </c>
      <c r="DH313">
        <f t="shared" si="130"/>
        <v>0</v>
      </c>
      <c r="DI313">
        <f t="shared" si="103"/>
        <v>0</v>
      </c>
      <c r="DJ313">
        <f>DI313</f>
        <v>0</v>
      </c>
      <c r="DK313">
        <v>0</v>
      </c>
      <c r="DL313" t="s">
        <v>3</v>
      </c>
      <c r="DM313">
        <v>0</v>
      </c>
      <c r="DN313" t="s">
        <v>3</v>
      </c>
      <c r="DO313">
        <v>0</v>
      </c>
    </row>
    <row r="314" spans="1:119" x14ac:dyDescent="0.2">
      <c r="A314">
        <f>ROW(Source!A312)</f>
        <v>312</v>
      </c>
      <c r="B314">
        <v>53860087</v>
      </c>
      <c r="C314">
        <v>54046351</v>
      </c>
      <c r="D314">
        <v>29580491</v>
      </c>
      <c r="E314">
        <v>1</v>
      </c>
      <c r="F314">
        <v>1</v>
      </c>
      <c r="G314">
        <v>29506949</v>
      </c>
      <c r="H314">
        <v>2</v>
      </c>
      <c r="I314" t="s">
        <v>650</v>
      </c>
      <c r="J314" t="s">
        <v>651</v>
      </c>
      <c r="K314" t="s">
        <v>652</v>
      </c>
      <c r="L314">
        <v>1368</v>
      </c>
      <c r="N314">
        <v>1011</v>
      </c>
      <c r="O314" t="s">
        <v>647</v>
      </c>
      <c r="P314" t="s">
        <v>647</v>
      </c>
      <c r="Q314">
        <v>1</v>
      </c>
      <c r="W314">
        <v>0</v>
      </c>
      <c r="X314">
        <v>-1440889904</v>
      </c>
      <c r="Y314">
        <f>(AT314*1.25)</f>
        <v>4.0999999999999996</v>
      </c>
      <c r="AA314">
        <v>0</v>
      </c>
      <c r="AB314">
        <v>1051.9000000000001</v>
      </c>
      <c r="AC314">
        <v>397.72</v>
      </c>
      <c r="AD314">
        <v>0</v>
      </c>
      <c r="AE314">
        <v>0</v>
      </c>
      <c r="AF314">
        <v>83.1</v>
      </c>
      <c r="AG314">
        <v>12.62</v>
      </c>
      <c r="AH314">
        <v>0</v>
      </c>
      <c r="AI314">
        <v>1</v>
      </c>
      <c r="AJ314">
        <v>12.09</v>
      </c>
      <c r="AK314">
        <v>30.1</v>
      </c>
      <c r="AL314">
        <v>1</v>
      </c>
      <c r="AM314">
        <v>2</v>
      </c>
      <c r="AN314">
        <v>0</v>
      </c>
      <c r="AO314">
        <v>1</v>
      </c>
      <c r="AP314">
        <v>1</v>
      </c>
      <c r="AQ314">
        <v>0</v>
      </c>
      <c r="AR314">
        <v>0</v>
      </c>
      <c r="AS314" t="s">
        <v>3</v>
      </c>
      <c r="AT314">
        <v>3.28</v>
      </c>
      <c r="AU314" t="s">
        <v>51</v>
      </c>
      <c r="AV314">
        <v>0</v>
      </c>
      <c r="AW314">
        <v>2</v>
      </c>
      <c r="AX314">
        <v>54046364</v>
      </c>
      <c r="AY314">
        <v>1</v>
      </c>
      <c r="AZ314">
        <v>0</v>
      </c>
      <c r="BA314">
        <v>428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CV314">
        <v>0</v>
      </c>
      <c r="CW314">
        <f>ROUND(Y314*Source!I312,9)</f>
        <v>0.73799999999999999</v>
      </c>
      <c r="CX314">
        <f>ROUND(Y314*Source!I312,9)</f>
        <v>0.73799999999999999</v>
      </c>
      <c r="CY314">
        <f>AB314</f>
        <v>1051.9000000000001</v>
      </c>
      <c r="CZ314">
        <f>AF314</f>
        <v>83.1</v>
      </c>
      <c r="DA314">
        <f>AJ314</f>
        <v>12.09</v>
      </c>
      <c r="DB314">
        <f>ROUND((ROUND(AT314*CZ314,2)*1.25),6)</f>
        <v>340.71249999999998</v>
      </c>
      <c r="DC314">
        <f>ROUND((ROUND(AT314*AG314,2)*1.25),6)</f>
        <v>51.737499999999997</v>
      </c>
      <c r="DD314" t="s">
        <v>3</v>
      </c>
      <c r="DE314" t="s">
        <v>3</v>
      </c>
      <c r="DF314">
        <f t="shared" si="131"/>
        <v>0</v>
      </c>
      <c r="DG314">
        <f>ROUND(ROUND(AF314*AJ314,2)*CX314,2)</f>
        <v>741.45</v>
      </c>
      <c r="DH314">
        <f>ROUND(ROUND(AG314*AK314,2)*CX314,2)</f>
        <v>280.33999999999997</v>
      </c>
      <c r="DI314">
        <f t="shared" si="103"/>
        <v>0</v>
      </c>
      <c r="DJ314">
        <f>DG314</f>
        <v>741.45</v>
      </c>
      <c r="DK314">
        <v>0</v>
      </c>
      <c r="DL314" t="s">
        <v>3</v>
      </c>
      <c r="DM314">
        <v>0</v>
      </c>
      <c r="DN314" t="s">
        <v>3</v>
      </c>
      <c r="DO314">
        <v>0</v>
      </c>
    </row>
    <row r="315" spans="1:119" x14ac:dyDescent="0.2">
      <c r="A315">
        <f>ROW(Source!A312)</f>
        <v>312</v>
      </c>
      <c r="B315">
        <v>53860087</v>
      </c>
      <c r="C315">
        <v>54046351</v>
      </c>
      <c r="D315">
        <v>29580529</v>
      </c>
      <c r="E315">
        <v>1</v>
      </c>
      <c r="F315">
        <v>1</v>
      </c>
      <c r="G315">
        <v>29506949</v>
      </c>
      <c r="H315">
        <v>2</v>
      </c>
      <c r="I315" t="s">
        <v>835</v>
      </c>
      <c r="J315" t="s">
        <v>836</v>
      </c>
      <c r="K315" t="s">
        <v>837</v>
      </c>
      <c r="L315">
        <v>1368</v>
      </c>
      <c r="N315">
        <v>1011</v>
      </c>
      <c r="O315" t="s">
        <v>647</v>
      </c>
      <c r="P315" t="s">
        <v>647</v>
      </c>
      <c r="Q315">
        <v>1</v>
      </c>
      <c r="W315">
        <v>0</v>
      </c>
      <c r="X315">
        <v>1944310998</v>
      </c>
      <c r="Y315">
        <f>(AT315*1.25)</f>
        <v>44.087500000000006</v>
      </c>
      <c r="AA315">
        <v>0</v>
      </c>
      <c r="AB315">
        <v>6.83</v>
      </c>
      <c r="AC315">
        <v>0</v>
      </c>
      <c r="AD315">
        <v>0</v>
      </c>
      <c r="AE315">
        <v>0</v>
      </c>
      <c r="AF315">
        <v>0.77</v>
      </c>
      <c r="AG315">
        <v>0</v>
      </c>
      <c r="AH315">
        <v>0</v>
      </c>
      <c r="AI315">
        <v>1</v>
      </c>
      <c r="AJ315">
        <v>8.4700000000000006</v>
      </c>
      <c r="AK315">
        <v>30.1</v>
      </c>
      <c r="AL315">
        <v>1</v>
      </c>
      <c r="AM315">
        <v>2</v>
      </c>
      <c r="AN315">
        <v>0</v>
      </c>
      <c r="AO315">
        <v>1</v>
      </c>
      <c r="AP315">
        <v>1</v>
      </c>
      <c r="AQ315">
        <v>0</v>
      </c>
      <c r="AR315">
        <v>0</v>
      </c>
      <c r="AS315" t="s">
        <v>3</v>
      </c>
      <c r="AT315">
        <v>35.270000000000003</v>
      </c>
      <c r="AU315" t="s">
        <v>51</v>
      </c>
      <c r="AV315">
        <v>0</v>
      </c>
      <c r="AW315">
        <v>2</v>
      </c>
      <c r="AX315">
        <v>54046365</v>
      </c>
      <c r="AY315">
        <v>1</v>
      </c>
      <c r="AZ315">
        <v>0</v>
      </c>
      <c r="BA315">
        <v>429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CV315">
        <v>0</v>
      </c>
      <c r="CW315">
        <f>ROUND(Y315*Source!I312,9)</f>
        <v>7.9357499999999996</v>
      </c>
      <c r="CX315">
        <f>ROUND(Y315*Source!I312,9)</f>
        <v>7.9357499999999996</v>
      </c>
      <c r="CY315">
        <f>AB315</f>
        <v>6.83</v>
      </c>
      <c r="CZ315">
        <f>AF315</f>
        <v>0.77</v>
      </c>
      <c r="DA315">
        <f>AJ315</f>
        <v>8.4700000000000006</v>
      </c>
      <c r="DB315">
        <f>ROUND((ROUND(AT315*CZ315,2)*1.25),6)</f>
        <v>33.950000000000003</v>
      </c>
      <c r="DC315">
        <f>ROUND((ROUND(AT315*AG315,2)*1.25),6)</f>
        <v>0</v>
      </c>
      <c r="DD315" t="s">
        <v>3</v>
      </c>
      <c r="DE315" t="s">
        <v>3</v>
      </c>
      <c r="DF315">
        <f t="shared" si="131"/>
        <v>0</v>
      </c>
      <c r="DG315">
        <f>ROUND(ROUND(AF315*AJ315,2)*CX315,2)</f>
        <v>51.74</v>
      </c>
      <c r="DH315">
        <f>ROUND(ROUND(AG315*AK315,2)*CX315,2)</f>
        <v>0</v>
      </c>
      <c r="DI315">
        <f t="shared" si="103"/>
        <v>0</v>
      </c>
      <c r="DJ315">
        <f>DG315</f>
        <v>51.74</v>
      </c>
      <c r="DK315">
        <v>0</v>
      </c>
      <c r="DL315" t="s">
        <v>3</v>
      </c>
      <c r="DM315">
        <v>0</v>
      </c>
      <c r="DN315" t="s">
        <v>3</v>
      </c>
      <c r="DO315">
        <v>0</v>
      </c>
    </row>
    <row r="316" spans="1:119" x14ac:dyDescent="0.2">
      <c r="A316">
        <f>ROW(Source!A312)</f>
        <v>312</v>
      </c>
      <c r="B316">
        <v>53860087</v>
      </c>
      <c r="C316">
        <v>54046351</v>
      </c>
      <c r="D316">
        <v>29580571</v>
      </c>
      <c r="E316">
        <v>1</v>
      </c>
      <c r="F316">
        <v>1</v>
      </c>
      <c r="G316">
        <v>29506949</v>
      </c>
      <c r="H316">
        <v>2</v>
      </c>
      <c r="I316" t="s">
        <v>644</v>
      </c>
      <c r="J316" t="s">
        <v>645</v>
      </c>
      <c r="K316" t="s">
        <v>646</v>
      </c>
      <c r="L316">
        <v>1368</v>
      </c>
      <c r="N316">
        <v>1011</v>
      </c>
      <c r="O316" t="s">
        <v>647</v>
      </c>
      <c r="P316" t="s">
        <v>647</v>
      </c>
      <c r="Q316">
        <v>1</v>
      </c>
      <c r="W316">
        <v>0</v>
      </c>
      <c r="X316">
        <v>-2099052417</v>
      </c>
      <c r="Y316">
        <f>(AT316*1.25)</f>
        <v>28.612500000000001</v>
      </c>
      <c r="AA316">
        <v>0</v>
      </c>
      <c r="AB316">
        <v>4.21</v>
      </c>
      <c r="AC316">
        <v>0</v>
      </c>
      <c r="AD316">
        <v>0</v>
      </c>
      <c r="AE316">
        <v>0</v>
      </c>
      <c r="AF316">
        <v>0.47</v>
      </c>
      <c r="AG316">
        <v>0</v>
      </c>
      <c r="AH316">
        <v>0</v>
      </c>
      <c r="AI316">
        <v>1</v>
      </c>
      <c r="AJ316">
        <v>8.5500000000000007</v>
      </c>
      <c r="AK316">
        <v>30.1</v>
      </c>
      <c r="AL316">
        <v>1</v>
      </c>
      <c r="AM316">
        <v>2</v>
      </c>
      <c r="AN316">
        <v>0</v>
      </c>
      <c r="AO316">
        <v>1</v>
      </c>
      <c r="AP316">
        <v>1</v>
      </c>
      <c r="AQ316">
        <v>0</v>
      </c>
      <c r="AR316">
        <v>0</v>
      </c>
      <c r="AS316" t="s">
        <v>3</v>
      </c>
      <c r="AT316">
        <v>22.89</v>
      </c>
      <c r="AU316" t="s">
        <v>51</v>
      </c>
      <c r="AV316">
        <v>0</v>
      </c>
      <c r="AW316">
        <v>2</v>
      </c>
      <c r="AX316">
        <v>54046366</v>
      </c>
      <c r="AY316">
        <v>1</v>
      </c>
      <c r="AZ316">
        <v>0</v>
      </c>
      <c r="BA316">
        <v>430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CV316">
        <v>0</v>
      </c>
      <c r="CW316">
        <f>ROUND(Y316*Source!I312,9)</f>
        <v>5.1502499999999998</v>
      </c>
      <c r="CX316">
        <f>ROUND(Y316*Source!I312,9)</f>
        <v>5.1502499999999998</v>
      </c>
      <c r="CY316">
        <f>AB316</f>
        <v>4.21</v>
      </c>
      <c r="CZ316">
        <f>AF316</f>
        <v>0.47</v>
      </c>
      <c r="DA316">
        <f>AJ316</f>
        <v>8.5500000000000007</v>
      </c>
      <c r="DB316">
        <f>ROUND((ROUND(AT316*CZ316,2)*1.25),6)</f>
        <v>13.45</v>
      </c>
      <c r="DC316">
        <f>ROUND((ROUND(AT316*AG316,2)*1.25),6)</f>
        <v>0</v>
      </c>
      <c r="DD316" t="s">
        <v>3</v>
      </c>
      <c r="DE316" t="s">
        <v>3</v>
      </c>
      <c r="DF316">
        <f t="shared" si="131"/>
        <v>0</v>
      </c>
      <c r="DG316">
        <f>ROUND(ROUND(AF316*AJ316,2)*CX316,2)</f>
        <v>20.7</v>
      </c>
      <c r="DH316">
        <f>ROUND(ROUND(AG316*AK316,2)*CX316,2)</f>
        <v>0</v>
      </c>
      <c r="DI316">
        <f t="shared" si="103"/>
        <v>0</v>
      </c>
      <c r="DJ316">
        <f>DG316</f>
        <v>20.7</v>
      </c>
      <c r="DK316">
        <v>0</v>
      </c>
      <c r="DL316" t="s">
        <v>3</v>
      </c>
      <c r="DM316">
        <v>0</v>
      </c>
      <c r="DN316" t="s">
        <v>3</v>
      </c>
      <c r="DO316">
        <v>0</v>
      </c>
    </row>
    <row r="317" spans="1:119" x14ac:dyDescent="0.2">
      <c r="A317">
        <f>ROW(Source!A312)</f>
        <v>312</v>
      </c>
      <c r="B317">
        <v>53860087</v>
      </c>
      <c r="C317">
        <v>54046351</v>
      </c>
      <c r="D317">
        <v>29507683</v>
      </c>
      <c r="E317">
        <v>29506949</v>
      </c>
      <c r="F317">
        <v>1</v>
      </c>
      <c r="G317">
        <v>29506949</v>
      </c>
      <c r="H317">
        <v>2</v>
      </c>
      <c r="I317" t="s">
        <v>641</v>
      </c>
      <c r="J317" t="s">
        <v>3</v>
      </c>
      <c r="K317" t="s">
        <v>642</v>
      </c>
      <c r="L317">
        <v>1344</v>
      </c>
      <c r="N317">
        <v>1008</v>
      </c>
      <c r="O317" t="s">
        <v>643</v>
      </c>
      <c r="P317" t="s">
        <v>643</v>
      </c>
      <c r="Q317">
        <v>1</v>
      </c>
      <c r="W317">
        <v>0</v>
      </c>
      <c r="X317">
        <v>-1180195794</v>
      </c>
      <c r="Y317">
        <f>(AT317*1.25)</f>
        <v>2.5000000000000001E-2</v>
      </c>
      <c r="AA317">
        <v>0</v>
      </c>
      <c r="AB317">
        <v>1.05</v>
      </c>
      <c r="AC317">
        <v>0</v>
      </c>
      <c r="AD317">
        <v>0</v>
      </c>
      <c r="AE317">
        <v>0</v>
      </c>
      <c r="AF317">
        <v>1</v>
      </c>
      <c r="AG317">
        <v>0</v>
      </c>
      <c r="AH317">
        <v>0</v>
      </c>
      <c r="AI317">
        <v>1</v>
      </c>
      <c r="AJ317">
        <v>1</v>
      </c>
      <c r="AK317">
        <v>1</v>
      </c>
      <c r="AL317">
        <v>1</v>
      </c>
      <c r="AM317">
        <v>-2</v>
      </c>
      <c r="AN317">
        <v>0</v>
      </c>
      <c r="AO317">
        <v>1</v>
      </c>
      <c r="AP317">
        <v>1</v>
      </c>
      <c r="AQ317">
        <v>0</v>
      </c>
      <c r="AR317">
        <v>0</v>
      </c>
      <c r="AS317" t="s">
        <v>3</v>
      </c>
      <c r="AT317">
        <v>0.02</v>
      </c>
      <c r="AU317" t="s">
        <v>51</v>
      </c>
      <c r="AV317">
        <v>0</v>
      </c>
      <c r="AW317">
        <v>2</v>
      </c>
      <c r="AX317">
        <v>54046367</v>
      </c>
      <c r="AY317">
        <v>1</v>
      </c>
      <c r="AZ317">
        <v>0</v>
      </c>
      <c r="BA317">
        <v>431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CV317">
        <v>0</v>
      </c>
      <c r="CW317">
        <f>ROUND(Y317*Source!I312,9)</f>
        <v>4.4999999999999997E-3</v>
      </c>
      <c r="CX317">
        <f>ROUND(Y317*Source!I312,9)</f>
        <v>4.4999999999999997E-3</v>
      </c>
      <c r="CY317">
        <f>AB317</f>
        <v>1.05</v>
      </c>
      <c r="CZ317">
        <f>AF317</f>
        <v>1</v>
      </c>
      <c r="DA317">
        <f>AJ317</f>
        <v>1</v>
      </c>
      <c r="DB317">
        <f>ROUND((ROUND(AT317*CZ317,2)*1.25),6)</f>
        <v>2.5000000000000001E-2</v>
      </c>
      <c r="DC317">
        <f>ROUND((ROUND(AT317*AG317,2)*1.25),6)</f>
        <v>0</v>
      </c>
      <c r="DD317" t="s">
        <v>3</v>
      </c>
      <c r="DE317" t="s">
        <v>3</v>
      </c>
      <c r="DF317">
        <f t="shared" si="131"/>
        <v>0</v>
      </c>
      <c r="DG317">
        <f t="shared" ref="DG317:DG324" si="132">ROUND(ROUND(AF317,2)*CX317,2)</f>
        <v>0</v>
      </c>
      <c r="DH317">
        <f t="shared" ref="DH317:DH324" si="133">ROUND(ROUND(AG317,2)*CX317,2)</f>
        <v>0</v>
      </c>
      <c r="DI317">
        <f t="shared" si="103"/>
        <v>0</v>
      </c>
      <c r="DJ317">
        <f>DG317</f>
        <v>0</v>
      </c>
      <c r="DK317">
        <v>0</v>
      </c>
      <c r="DL317" t="s">
        <v>3</v>
      </c>
      <c r="DM317">
        <v>0</v>
      </c>
      <c r="DN317" t="s">
        <v>3</v>
      </c>
      <c r="DO317">
        <v>0</v>
      </c>
    </row>
    <row r="318" spans="1:119" x14ac:dyDescent="0.2">
      <c r="A318">
        <f>ROW(Source!A312)</f>
        <v>312</v>
      </c>
      <c r="B318">
        <v>53860087</v>
      </c>
      <c r="C318">
        <v>54046351</v>
      </c>
      <c r="D318">
        <v>29557701</v>
      </c>
      <c r="E318">
        <v>1</v>
      </c>
      <c r="F318">
        <v>1</v>
      </c>
      <c r="G318">
        <v>29506949</v>
      </c>
      <c r="H318">
        <v>3</v>
      </c>
      <c r="I318" t="s">
        <v>576</v>
      </c>
      <c r="J318" t="s">
        <v>577</v>
      </c>
      <c r="K318" t="s">
        <v>982</v>
      </c>
      <c r="L318">
        <v>1301</v>
      </c>
      <c r="N318">
        <v>1003</v>
      </c>
      <c r="O318" t="s">
        <v>125</v>
      </c>
      <c r="P318" t="s">
        <v>125</v>
      </c>
      <c r="Q318">
        <v>1</v>
      </c>
      <c r="W318">
        <v>0</v>
      </c>
      <c r="X318">
        <v>-999565663</v>
      </c>
      <c r="Y318">
        <f t="shared" ref="Y318:Y323" si="134">AT318</f>
        <v>67</v>
      </c>
      <c r="AA318">
        <v>21.12</v>
      </c>
      <c r="AB318">
        <v>0</v>
      </c>
      <c r="AC318">
        <v>0</v>
      </c>
      <c r="AD318">
        <v>0</v>
      </c>
      <c r="AE318">
        <v>14.98</v>
      </c>
      <c r="AF318">
        <v>0</v>
      </c>
      <c r="AG318">
        <v>0</v>
      </c>
      <c r="AH318">
        <v>0</v>
      </c>
      <c r="AI318">
        <v>1.41</v>
      </c>
      <c r="AJ318">
        <v>1</v>
      </c>
      <c r="AK318">
        <v>1</v>
      </c>
      <c r="AL318">
        <v>1</v>
      </c>
      <c r="AM318">
        <v>0</v>
      </c>
      <c r="AN318">
        <v>0</v>
      </c>
      <c r="AO318">
        <v>0</v>
      </c>
      <c r="AP318">
        <v>1</v>
      </c>
      <c r="AQ318">
        <v>0</v>
      </c>
      <c r="AR318">
        <v>0</v>
      </c>
      <c r="AS318" t="s">
        <v>3</v>
      </c>
      <c r="AT318">
        <v>67</v>
      </c>
      <c r="AU318" t="s">
        <v>3</v>
      </c>
      <c r="AV318">
        <v>0</v>
      </c>
      <c r="AW318">
        <v>1</v>
      </c>
      <c r="AX318">
        <v>-1</v>
      </c>
      <c r="AY318">
        <v>0</v>
      </c>
      <c r="AZ318">
        <v>0</v>
      </c>
      <c r="BA318" t="s">
        <v>3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CV318">
        <v>0</v>
      </c>
      <c r="CW318">
        <v>0</v>
      </c>
      <c r="CX318">
        <f>ROUND(Y318*Source!I312,9)</f>
        <v>12.06</v>
      </c>
      <c r="CY318">
        <f t="shared" ref="CY318:CY323" si="135">AA318</f>
        <v>21.12</v>
      </c>
      <c r="CZ318">
        <f t="shared" ref="CZ318:CZ323" si="136">AE318</f>
        <v>14.98</v>
      </c>
      <c r="DA318">
        <f t="shared" ref="DA318:DA323" si="137">AI318</f>
        <v>1.41</v>
      </c>
      <c r="DB318">
        <f t="shared" ref="DB318:DB323" si="138">ROUND(ROUND(AT318*CZ318,2),6)</f>
        <v>1003.66</v>
      </c>
      <c r="DC318">
        <f t="shared" ref="DC318:DC323" si="139">ROUND(ROUND(AT318*AG318,2),6)</f>
        <v>0</v>
      </c>
      <c r="DD318" t="s">
        <v>3</v>
      </c>
      <c r="DE318" t="s">
        <v>3</v>
      </c>
      <c r="DF318">
        <f t="shared" ref="DF318:DF323" si="140">ROUND(ROUND(AE318*AI318,2)*CX318,2)</f>
        <v>254.71</v>
      </c>
      <c r="DG318">
        <f t="shared" si="132"/>
        <v>0</v>
      </c>
      <c r="DH318">
        <f t="shared" si="133"/>
        <v>0</v>
      </c>
      <c r="DI318">
        <f t="shared" si="103"/>
        <v>0</v>
      </c>
      <c r="DJ318">
        <f t="shared" ref="DJ318:DJ323" si="141">DF318</f>
        <v>254.71</v>
      </c>
      <c r="DK318">
        <v>0</v>
      </c>
      <c r="DL318" t="s">
        <v>3</v>
      </c>
      <c r="DM318">
        <v>0</v>
      </c>
      <c r="DN318" t="s">
        <v>3</v>
      </c>
      <c r="DO318">
        <v>0</v>
      </c>
    </row>
    <row r="319" spans="1:119" x14ac:dyDescent="0.2">
      <c r="A319">
        <f>ROW(Source!A312)</f>
        <v>312</v>
      </c>
      <c r="B319">
        <v>53860087</v>
      </c>
      <c r="C319">
        <v>54046351</v>
      </c>
      <c r="D319">
        <v>29557703</v>
      </c>
      <c r="E319">
        <v>1</v>
      </c>
      <c r="F319">
        <v>1</v>
      </c>
      <c r="G319">
        <v>29506949</v>
      </c>
      <c r="H319">
        <v>3</v>
      </c>
      <c r="I319" t="s">
        <v>838</v>
      </c>
      <c r="J319" t="s">
        <v>839</v>
      </c>
      <c r="K319" t="s">
        <v>840</v>
      </c>
      <c r="L319">
        <v>1354</v>
      </c>
      <c r="N319">
        <v>1010</v>
      </c>
      <c r="O319" t="s">
        <v>536</v>
      </c>
      <c r="P319" t="s">
        <v>536</v>
      </c>
      <c r="Q319">
        <v>1</v>
      </c>
      <c r="W319">
        <v>0</v>
      </c>
      <c r="X319">
        <v>-1011256980</v>
      </c>
      <c r="Y319">
        <f t="shared" si="134"/>
        <v>300</v>
      </c>
      <c r="AA319">
        <v>12.29</v>
      </c>
      <c r="AB319">
        <v>0</v>
      </c>
      <c r="AC319">
        <v>0</v>
      </c>
      <c r="AD319">
        <v>0</v>
      </c>
      <c r="AE319">
        <v>9.6</v>
      </c>
      <c r="AF319">
        <v>0</v>
      </c>
      <c r="AG319">
        <v>0</v>
      </c>
      <c r="AH319">
        <v>0</v>
      </c>
      <c r="AI319">
        <v>1.28</v>
      </c>
      <c r="AJ319">
        <v>1</v>
      </c>
      <c r="AK319">
        <v>1</v>
      </c>
      <c r="AL319">
        <v>1</v>
      </c>
      <c r="AM319">
        <v>2</v>
      </c>
      <c r="AN319">
        <v>0</v>
      </c>
      <c r="AO319">
        <v>1</v>
      </c>
      <c r="AP319">
        <v>1</v>
      </c>
      <c r="AQ319">
        <v>0</v>
      </c>
      <c r="AR319">
        <v>0</v>
      </c>
      <c r="AS319" t="s">
        <v>3</v>
      </c>
      <c r="AT319">
        <v>300</v>
      </c>
      <c r="AU319" t="s">
        <v>3</v>
      </c>
      <c r="AV319">
        <v>0</v>
      </c>
      <c r="AW319">
        <v>2</v>
      </c>
      <c r="AX319">
        <v>54046368</v>
      </c>
      <c r="AY319">
        <v>1</v>
      </c>
      <c r="AZ319">
        <v>0</v>
      </c>
      <c r="BA319">
        <v>432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CV319">
        <v>0</v>
      </c>
      <c r="CW319">
        <v>0</v>
      </c>
      <c r="CX319">
        <f>ROUND(Y319*Source!I312,9)</f>
        <v>54</v>
      </c>
      <c r="CY319">
        <f t="shared" si="135"/>
        <v>12.29</v>
      </c>
      <c r="CZ319">
        <f t="shared" si="136"/>
        <v>9.6</v>
      </c>
      <c r="DA319">
        <f t="shared" si="137"/>
        <v>1.28</v>
      </c>
      <c r="DB319">
        <f t="shared" si="138"/>
        <v>2880</v>
      </c>
      <c r="DC319">
        <f t="shared" si="139"/>
        <v>0</v>
      </c>
      <c r="DD319" t="s">
        <v>3</v>
      </c>
      <c r="DE319" t="s">
        <v>3</v>
      </c>
      <c r="DF319">
        <f t="shared" si="140"/>
        <v>663.66</v>
      </c>
      <c r="DG319">
        <f t="shared" si="132"/>
        <v>0</v>
      </c>
      <c r="DH319">
        <f t="shared" si="133"/>
        <v>0</v>
      </c>
      <c r="DI319">
        <f t="shared" si="103"/>
        <v>0</v>
      </c>
      <c r="DJ319">
        <f t="shared" si="141"/>
        <v>663.66</v>
      </c>
      <c r="DK319">
        <v>0</v>
      </c>
      <c r="DL319" t="s">
        <v>3</v>
      </c>
      <c r="DM319">
        <v>0</v>
      </c>
      <c r="DN319" t="s">
        <v>3</v>
      </c>
      <c r="DO319">
        <v>0</v>
      </c>
    </row>
    <row r="320" spans="1:119" x14ac:dyDescent="0.2">
      <c r="A320">
        <f>ROW(Source!A312)</f>
        <v>312</v>
      </c>
      <c r="B320">
        <v>53860087</v>
      </c>
      <c r="C320">
        <v>54046351</v>
      </c>
      <c r="D320">
        <v>29558082</v>
      </c>
      <c r="E320">
        <v>1</v>
      </c>
      <c r="F320">
        <v>1</v>
      </c>
      <c r="G320">
        <v>29506949</v>
      </c>
      <c r="H320">
        <v>3</v>
      </c>
      <c r="I320" t="s">
        <v>573</v>
      </c>
      <c r="J320" t="s">
        <v>574</v>
      </c>
      <c r="K320" t="s">
        <v>983</v>
      </c>
      <c r="L320">
        <v>1301</v>
      </c>
      <c r="N320">
        <v>1003</v>
      </c>
      <c r="O320" t="s">
        <v>125</v>
      </c>
      <c r="P320" t="s">
        <v>125</v>
      </c>
      <c r="Q320">
        <v>1</v>
      </c>
      <c r="W320">
        <v>0</v>
      </c>
      <c r="X320">
        <v>1126939660</v>
      </c>
      <c r="Y320">
        <f t="shared" si="134"/>
        <v>429</v>
      </c>
      <c r="AA320">
        <v>23.01</v>
      </c>
      <c r="AB320">
        <v>0</v>
      </c>
      <c r="AC320">
        <v>0</v>
      </c>
      <c r="AD320">
        <v>0</v>
      </c>
      <c r="AE320">
        <v>14.75</v>
      </c>
      <c r="AF320">
        <v>0</v>
      </c>
      <c r="AG320">
        <v>0</v>
      </c>
      <c r="AH320">
        <v>0</v>
      </c>
      <c r="AI320">
        <v>1.56</v>
      </c>
      <c r="AJ320">
        <v>1</v>
      </c>
      <c r="AK320">
        <v>1</v>
      </c>
      <c r="AL320">
        <v>1</v>
      </c>
      <c r="AM320">
        <v>0</v>
      </c>
      <c r="AN320">
        <v>0</v>
      </c>
      <c r="AO320">
        <v>0</v>
      </c>
      <c r="AP320">
        <v>1</v>
      </c>
      <c r="AQ320">
        <v>0</v>
      </c>
      <c r="AR320">
        <v>0</v>
      </c>
      <c r="AS320" t="s">
        <v>3</v>
      </c>
      <c r="AT320">
        <v>429</v>
      </c>
      <c r="AU320" t="s">
        <v>3</v>
      </c>
      <c r="AV320">
        <v>0</v>
      </c>
      <c r="AW320">
        <v>1</v>
      </c>
      <c r="AX320">
        <v>-1</v>
      </c>
      <c r="AY320">
        <v>0</v>
      </c>
      <c r="AZ320">
        <v>0</v>
      </c>
      <c r="BA320" t="s">
        <v>3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CV320">
        <v>0</v>
      </c>
      <c r="CW320">
        <v>0</v>
      </c>
      <c r="CX320">
        <f>ROUND(Y320*Source!I312,9)</f>
        <v>77.22</v>
      </c>
      <c r="CY320">
        <f t="shared" si="135"/>
        <v>23.01</v>
      </c>
      <c r="CZ320">
        <f t="shared" si="136"/>
        <v>14.75</v>
      </c>
      <c r="DA320">
        <f t="shared" si="137"/>
        <v>1.56</v>
      </c>
      <c r="DB320">
        <f t="shared" si="138"/>
        <v>6327.75</v>
      </c>
      <c r="DC320">
        <f t="shared" si="139"/>
        <v>0</v>
      </c>
      <c r="DD320" t="s">
        <v>3</v>
      </c>
      <c r="DE320" t="s">
        <v>3</v>
      </c>
      <c r="DF320">
        <f t="shared" si="140"/>
        <v>1776.83</v>
      </c>
      <c r="DG320">
        <f t="shared" si="132"/>
        <v>0</v>
      </c>
      <c r="DH320">
        <f t="shared" si="133"/>
        <v>0</v>
      </c>
      <c r="DI320">
        <f t="shared" si="103"/>
        <v>0</v>
      </c>
      <c r="DJ320">
        <f t="shared" si="141"/>
        <v>1776.83</v>
      </c>
      <c r="DK320">
        <v>0</v>
      </c>
      <c r="DL320" t="s">
        <v>3</v>
      </c>
      <c r="DM320">
        <v>0</v>
      </c>
      <c r="DN320" t="s">
        <v>3</v>
      </c>
      <c r="DO320">
        <v>0</v>
      </c>
    </row>
    <row r="321" spans="1:119" x14ac:dyDescent="0.2">
      <c r="A321">
        <f>ROW(Source!A312)</f>
        <v>312</v>
      </c>
      <c r="B321">
        <v>53860087</v>
      </c>
      <c r="C321">
        <v>54046351</v>
      </c>
      <c r="D321">
        <v>29558085</v>
      </c>
      <c r="E321">
        <v>1</v>
      </c>
      <c r="F321">
        <v>1</v>
      </c>
      <c r="G321">
        <v>29506949</v>
      </c>
      <c r="H321">
        <v>3</v>
      </c>
      <c r="I321" t="s">
        <v>583</v>
      </c>
      <c r="J321" t="s">
        <v>585</v>
      </c>
      <c r="K321" t="s">
        <v>584</v>
      </c>
      <c r="L321">
        <v>1301</v>
      </c>
      <c r="N321">
        <v>1003</v>
      </c>
      <c r="O321" t="s">
        <v>125</v>
      </c>
      <c r="P321" t="s">
        <v>125</v>
      </c>
      <c r="Q321">
        <v>1</v>
      </c>
      <c r="W321">
        <v>0</v>
      </c>
      <c r="X321">
        <v>-983055835</v>
      </c>
      <c r="Y321">
        <f t="shared" si="134"/>
        <v>271</v>
      </c>
      <c r="AA321">
        <v>4.72</v>
      </c>
      <c r="AB321">
        <v>0</v>
      </c>
      <c r="AC321">
        <v>0</v>
      </c>
      <c r="AD321">
        <v>0</v>
      </c>
      <c r="AE321">
        <v>5.49</v>
      </c>
      <c r="AF321">
        <v>0</v>
      </c>
      <c r="AG321">
        <v>0</v>
      </c>
      <c r="AH321">
        <v>0</v>
      </c>
      <c r="AI321">
        <v>0.86</v>
      </c>
      <c r="AJ321">
        <v>1</v>
      </c>
      <c r="AK321">
        <v>1</v>
      </c>
      <c r="AL321">
        <v>1</v>
      </c>
      <c r="AM321">
        <v>0</v>
      </c>
      <c r="AN321">
        <v>0</v>
      </c>
      <c r="AO321">
        <v>0</v>
      </c>
      <c r="AP321">
        <v>1</v>
      </c>
      <c r="AQ321">
        <v>0</v>
      </c>
      <c r="AR321">
        <v>0</v>
      </c>
      <c r="AS321" t="s">
        <v>3</v>
      </c>
      <c r="AT321">
        <v>271</v>
      </c>
      <c r="AU321" t="s">
        <v>3</v>
      </c>
      <c r="AV321">
        <v>0</v>
      </c>
      <c r="AW321">
        <v>1</v>
      </c>
      <c r="AX321">
        <v>-1</v>
      </c>
      <c r="AY321">
        <v>0</v>
      </c>
      <c r="AZ321">
        <v>0</v>
      </c>
      <c r="BA321" t="s">
        <v>3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CV321">
        <v>0</v>
      </c>
      <c r="CW321">
        <v>0</v>
      </c>
      <c r="CX321">
        <f>ROUND(Y321*Source!I312,9)</f>
        <v>48.78</v>
      </c>
      <c r="CY321">
        <f t="shared" si="135"/>
        <v>4.72</v>
      </c>
      <c r="CZ321">
        <f t="shared" si="136"/>
        <v>5.49</v>
      </c>
      <c r="DA321">
        <f t="shared" si="137"/>
        <v>0.86</v>
      </c>
      <c r="DB321">
        <f t="shared" si="138"/>
        <v>1487.79</v>
      </c>
      <c r="DC321">
        <f t="shared" si="139"/>
        <v>0</v>
      </c>
      <c r="DD321" t="s">
        <v>3</v>
      </c>
      <c r="DE321" t="s">
        <v>3</v>
      </c>
      <c r="DF321">
        <f t="shared" si="140"/>
        <v>230.24</v>
      </c>
      <c r="DG321">
        <f t="shared" si="132"/>
        <v>0</v>
      </c>
      <c r="DH321">
        <f t="shared" si="133"/>
        <v>0</v>
      </c>
      <c r="DI321">
        <f t="shared" ref="DI321:DI338" si="142">ROUND(ROUND(AH321,2)*CX321,2)</f>
        <v>0</v>
      </c>
      <c r="DJ321">
        <f t="shared" si="141"/>
        <v>230.24</v>
      </c>
      <c r="DK321">
        <v>0</v>
      </c>
      <c r="DL321" t="s">
        <v>3</v>
      </c>
      <c r="DM321">
        <v>0</v>
      </c>
      <c r="DN321" t="s">
        <v>3</v>
      </c>
      <c r="DO321">
        <v>0</v>
      </c>
    </row>
    <row r="322" spans="1:119" x14ac:dyDescent="0.2">
      <c r="A322">
        <f>ROW(Source!A312)</f>
        <v>312</v>
      </c>
      <c r="B322">
        <v>53860087</v>
      </c>
      <c r="C322">
        <v>54046351</v>
      </c>
      <c r="D322">
        <v>29556153</v>
      </c>
      <c r="E322">
        <v>1</v>
      </c>
      <c r="F322">
        <v>1</v>
      </c>
      <c r="G322">
        <v>29506949</v>
      </c>
      <c r="H322">
        <v>3</v>
      </c>
      <c r="I322" t="s">
        <v>841</v>
      </c>
      <c r="J322" t="s">
        <v>842</v>
      </c>
      <c r="K322" t="s">
        <v>843</v>
      </c>
      <c r="L322">
        <v>1296</v>
      </c>
      <c r="N322">
        <v>1002</v>
      </c>
      <c r="O322" t="s">
        <v>154</v>
      </c>
      <c r="P322" t="s">
        <v>154</v>
      </c>
      <c r="Q322">
        <v>1</v>
      </c>
      <c r="W322">
        <v>0</v>
      </c>
      <c r="X322">
        <v>1307744319</v>
      </c>
      <c r="Y322">
        <f t="shared" si="134"/>
        <v>85.5</v>
      </c>
      <c r="AA322">
        <v>268.02999999999997</v>
      </c>
      <c r="AB322">
        <v>0</v>
      </c>
      <c r="AC322">
        <v>0</v>
      </c>
      <c r="AD322">
        <v>0</v>
      </c>
      <c r="AE322">
        <v>54.7</v>
      </c>
      <c r="AF322">
        <v>0</v>
      </c>
      <c r="AG322">
        <v>0</v>
      </c>
      <c r="AH322">
        <v>0</v>
      </c>
      <c r="AI322">
        <v>4.9000000000000004</v>
      </c>
      <c r="AJ322">
        <v>1</v>
      </c>
      <c r="AK322">
        <v>1</v>
      </c>
      <c r="AL322">
        <v>1</v>
      </c>
      <c r="AM322">
        <v>2</v>
      </c>
      <c r="AN322">
        <v>0</v>
      </c>
      <c r="AO322">
        <v>1</v>
      </c>
      <c r="AP322">
        <v>1</v>
      </c>
      <c r="AQ322">
        <v>0</v>
      </c>
      <c r="AR322">
        <v>0</v>
      </c>
      <c r="AS322" t="s">
        <v>3</v>
      </c>
      <c r="AT322">
        <v>85.5</v>
      </c>
      <c r="AU322" t="s">
        <v>3</v>
      </c>
      <c r="AV322">
        <v>0</v>
      </c>
      <c r="AW322">
        <v>2</v>
      </c>
      <c r="AX322">
        <v>54046369</v>
      </c>
      <c r="AY322">
        <v>1</v>
      </c>
      <c r="AZ322">
        <v>0</v>
      </c>
      <c r="BA322">
        <v>433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CV322">
        <v>0</v>
      </c>
      <c r="CW322">
        <v>0</v>
      </c>
      <c r="CX322">
        <f>ROUND(Y322*Source!I312,9)</f>
        <v>15.39</v>
      </c>
      <c r="CY322">
        <f t="shared" si="135"/>
        <v>268.02999999999997</v>
      </c>
      <c r="CZ322">
        <f t="shared" si="136"/>
        <v>54.7</v>
      </c>
      <c r="DA322">
        <f t="shared" si="137"/>
        <v>4.9000000000000004</v>
      </c>
      <c r="DB322">
        <f t="shared" si="138"/>
        <v>4676.8500000000004</v>
      </c>
      <c r="DC322">
        <f t="shared" si="139"/>
        <v>0</v>
      </c>
      <c r="DD322" t="s">
        <v>3</v>
      </c>
      <c r="DE322" t="s">
        <v>3</v>
      </c>
      <c r="DF322">
        <f t="shared" si="140"/>
        <v>4124.9799999999996</v>
      </c>
      <c r="DG322">
        <f t="shared" si="132"/>
        <v>0</v>
      </c>
      <c r="DH322">
        <f t="shared" si="133"/>
        <v>0</v>
      </c>
      <c r="DI322">
        <f t="shared" si="142"/>
        <v>0</v>
      </c>
      <c r="DJ322">
        <f t="shared" si="141"/>
        <v>4124.9799999999996</v>
      </c>
      <c r="DK322">
        <v>0</v>
      </c>
      <c r="DL322" t="s">
        <v>3</v>
      </c>
      <c r="DM322">
        <v>0</v>
      </c>
      <c r="DN322" t="s">
        <v>3</v>
      </c>
      <c r="DO322">
        <v>0</v>
      </c>
    </row>
    <row r="323" spans="1:119" x14ac:dyDescent="0.2">
      <c r="A323">
        <f>ROW(Source!A312)</f>
        <v>312</v>
      </c>
      <c r="B323">
        <v>53860087</v>
      </c>
      <c r="C323">
        <v>54046351</v>
      </c>
      <c r="D323">
        <v>29579063</v>
      </c>
      <c r="E323">
        <v>1</v>
      </c>
      <c r="F323">
        <v>1</v>
      </c>
      <c r="G323">
        <v>29506949</v>
      </c>
      <c r="H323">
        <v>3</v>
      </c>
      <c r="I323" t="s">
        <v>579</v>
      </c>
      <c r="J323" t="s">
        <v>581</v>
      </c>
      <c r="K323" t="s">
        <v>580</v>
      </c>
      <c r="L323">
        <v>1327</v>
      </c>
      <c r="N323">
        <v>1005</v>
      </c>
      <c r="O323" t="s">
        <v>100</v>
      </c>
      <c r="P323" t="s">
        <v>100</v>
      </c>
      <c r="Q323">
        <v>1</v>
      </c>
      <c r="W323">
        <v>0</v>
      </c>
      <c r="X323">
        <v>640050581</v>
      </c>
      <c r="Y323">
        <f t="shared" si="134"/>
        <v>100</v>
      </c>
      <c r="AA323">
        <v>8785.16</v>
      </c>
      <c r="AB323">
        <v>0</v>
      </c>
      <c r="AC323">
        <v>0</v>
      </c>
      <c r="AD323">
        <v>0</v>
      </c>
      <c r="AE323">
        <v>4459.47</v>
      </c>
      <c r="AF323">
        <v>0</v>
      </c>
      <c r="AG323">
        <v>0</v>
      </c>
      <c r="AH323">
        <v>0</v>
      </c>
      <c r="AI323">
        <v>1.97</v>
      </c>
      <c r="AJ323">
        <v>1</v>
      </c>
      <c r="AK323">
        <v>1</v>
      </c>
      <c r="AL323">
        <v>1</v>
      </c>
      <c r="AM323">
        <v>0</v>
      </c>
      <c r="AN323">
        <v>0</v>
      </c>
      <c r="AO323">
        <v>0</v>
      </c>
      <c r="AP323">
        <v>1</v>
      </c>
      <c r="AQ323">
        <v>0</v>
      </c>
      <c r="AR323">
        <v>0</v>
      </c>
      <c r="AS323" t="s">
        <v>3</v>
      </c>
      <c r="AT323">
        <v>100</v>
      </c>
      <c r="AU323" t="s">
        <v>3</v>
      </c>
      <c r="AV323">
        <v>0</v>
      </c>
      <c r="AW323">
        <v>1</v>
      </c>
      <c r="AX323">
        <v>-1</v>
      </c>
      <c r="AY323">
        <v>0</v>
      </c>
      <c r="AZ323">
        <v>0</v>
      </c>
      <c r="BA323" t="s">
        <v>3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CV323">
        <v>0</v>
      </c>
      <c r="CW323">
        <v>0</v>
      </c>
      <c r="CX323">
        <f>ROUND(Y323*Source!I312,9)</f>
        <v>18</v>
      </c>
      <c r="CY323">
        <f t="shared" si="135"/>
        <v>8785.16</v>
      </c>
      <c r="CZ323">
        <f t="shared" si="136"/>
        <v>4459.47</v>
      </c>
      <c r="DA323">
        <f t="shared" si="137"/>
        <v>1.97</v>
      </c>
      <c r="DB323">
        <f t="shared" si="138"/>
        <v>445947</v>
      </c>
      <c r="DC323">
        <f t="shared" si="139"/>
        <v>0</v>
      </c>
      <c r="DD323" t="s">
        <v>3</v>
      </c>
      <c r="DE323" t="s">
        <v>3</v>
      </c>
      <c r="DF323">
        <f t="shared" si="140"/>
        <v>158132.88</v>
      </c>
      <c r="DG323">
        <f t="shared" si="132"/>
        <v>0</v>
      </c>
      <c r="DH323">
        <f t="shared" si="133"/>
        <v>0</v>
      </c>
      <c r="DI323">
        <f t="shared" si="142"/>
        <v>0</v>
      </c>
      <c r="DJ323">
        <f t="shared" si="141"/>
        <v>158132.88</v>
      </c>
      <c r="DK323">
        <v>0</v>
      </c>
      <c r="DL323" t="s">
        <v>3</v>
      </c>
      <c r="DM323">
        <v>0</v>
      </c>
      <c r="DN323" t="s">
        <v>3</v>
      </c>
      <c r="DO323">
        <v>0</v>
      </c>
    </row>
    <row r="324" spans="1:119" x14ac:dyDescent="0.2">
      <c r="A324">
        <f>ROW(Source!A317)</f>
        <v>317</v>
      </c>
      <c r="B324">
        <v>53860087</v>
      </c>
      <c r="C324">
        <v>54046378</v>
      </c>
      <c r="D324">
        <v>29506954</v>
      </c>
      <c r="E324">
        <v>29506949</v>
      </c>
      <c r="F324">
        <v>1</v>
      </c>
      <c r="G324">
        <v>29506949</v>
      </c>
      <c r="H324">
        <v>1</v>
      </c>
      <c r="I324" t="s">
        <v>638</v>
      </c>
      <c r="J324" t="s">
        <v>3</v>
      </c>
      <c r="K324" t="s">
        <v>639</v>
      </c>
      <c r="L324">
        <v>1191</v>
      </c>
      <c r="N324">
        <v>1013</v>
      </c>
      <c r="O324" t="s">
        <v>640</v>
      </c>
      <c r="P324" t="s">
        <v>640</v>
      </c>
      <c r="Q324">
        <v>1</v>
      </c>
      <c r="W324">
        <v>0</v>
      </c>
      <c r="X324">
        <v>476480486</v>
      </c>
      <c r="Y324">
        <f>(AT324*1.15)</f>
        <v>22.424999999999997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1</v>
      </c>
      <c r="AJ324">
        <v>1</v>
      </c>
      <c r="AK324">
        <v>1</v>
      </c>
      <c r="AL324">
        <v>1</v>
      </c>
      <c r="AM324">
        <v>-2</v>
      </c>
      <c r="AN324">
        <v>0</v>
      </c>
      <c r="AO324">
        <v>1</v>
      </c>
      <c r="AP324">
        <v>1</v>
      </c>
      <c r="AQ324">
        <v>0</v>
      </c>
      <c r="AR324">
        <v>0</v>
      </c>
      <c r="AS324" t="s">
        <v>3</v>
      </c>
      <c r="AT324">
        <v>19.5</v>
      </c>
      <c r="AU324" t="s">
        <v>52</v>
      </c>
      <c r="AV324">
        <v>1</v>
      </c>
      <c r="AW324">
        <v>2</v>
      </c>
      <c r="AX324">
        <v>54046384</v>
      </c>
      <c r="AY324">
        <v>1</v>
      </c>
      <c r="AZ324">
        <v>0</v>
      </c>
      <c r="BA324">
        <v>438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CU324">
        <f>ROUND(AT324*Source!I317*AH324*AL324,2)</f>
        <v>0</v>
      </c>
      <c r="CV324">
        <f>ROUND(Y324*Source!I317,9)</f>
        <v>6.0547500000000003</v>
      </c>
      <c r="CW324">
        <v>0</v>
      </c>
      <c r="CX324">
        <f>ROUND(Y324*Source!I317,9)</f>
        <v>6.0547500000000003</v>
      </c>
      <c r="CY324">
        <f>AD324</f>
        <v>0</v>
      </c>
      <c r="CZ324">
        <f>AH324</f>
        <v>0</v>
      </c>
      <c r="DA324">
        <f>AL324</f>
        <v>1</v>
      </c>
      <c r="DB324">
        <f>ROUND((ROUND(AT324*CZ324,2)*1.15),6)</f>
        <v>0</v>
      </c>
      <c r="DC324">
        <f>ROUND((ROUND(AT324*AG324,2)*1.15),6)</f>
        <v>0</v>
      </c>
      <c r="DD324" t="s">
        <v>3</v>
      </c>
      <c r="DE324" t="s">
        <v>3</v>
      </c>
      <c r="DF324">
        <f>ROUND(ROUND(AE324,2)*CX324,2)</f>
        <v>0</v>
      </c>
      <c r="DG324">
        <f t="shared" si="132"/>
        <v>0</v>
      </c>
      <c r="DH324">
        <f t="shared" si="133"/>
        <v>0</v>
      </c>
      <c r="DI324">
        <f t="shared" si="142"/>
        <v>0</v>
      </c>
      <c r="DJ324">
        <f>DI324</f>
        <v>0</v>
      </c>
      <c r="DK324">
        <v>0</v>
      </c>
      <c r="DL324" t="s">
        <v>3</v>
      </c>
      <c r="DM324">
        <v>0</v>
      </c>
      <c r="DN324" t="s">
        <v>3</v>
      </c>
      <c r="DO324">
        <v>0</v>
      </c>
    </row>
    <row r="325" spans="1:119" x14ac:dyDescent="0.2">
      <c r="A325">
        <f>ROW(Source!A317)</f>
        <v>317</v>
      </c>
      <c r="B325">
        <v>53860087</v>
      </c>
      <c r="C325">
        <v>54046378</v>
      </c>
      <c r="D325">
        <v>29580491</v>
      </c>
      <c r="E325">
        <v>1</v>
      </c>
      <c r="F325">
        <v>1</v>
      </c>
      <c r="G325">
        <v>29506949</v>
      </c>
      <c r="H325">
        <v>2</v>
      </c>
      <c r="I325" t="s">
        <v>650</v>
      </c>
      <c r="J325" t="s">
        <v>651</v>
      </c>
      <c r="K325" t="s">
        <v>652</v>
      </c>
      <c r="L325">
        <v>1368</v>
      </c>
      <c r="N325">
        <v>1011</v>
      </c>
      <c r="O325" t="s">
        <v>647</v>
      </c>
      <c r="P325" t="s">
        <v>647</v>
      </c>
      <c r="Q325">
        <v>1</v>
      </c>
      <c r="W325">
        <v>0</v>
      </c>
      <c r="X325">
        <v>-1440889904</v>
      </c>
      <c r="Y325">
        <f>(AT325*1.25)</f>
        <v>0.21250000000000002</v>
      </c>
      <c r="AA325">
        <v>0</v>
      </c>
      <c r="AB325">
        <v>1051.9000000000001</v>
      </c>
      <c r="AC325">
        <v>397.72</v>
      </c>
      <c r="AD325">
        <v>0</v>
      </c>
      <c r="AE325">
        <v>0</v>
      </c>
      <c r="AF325">
        <v>83.1</v>
      </c>
      <c r="AG325">
        <v>12.62</v>
      </c>
      <c r="AH325">
        <v>0</v>
      </c>
      <c r="AI325">
        <v>1</v>
      </c>
      <c r="AJ325">
        <v>12.09</v>
      </c>
      <c r="AK325">
        <v>30.1</v>
      </c>
      <c r="AL325">
        <v>1</v>
      </c>
      <c r="AM325">
        <v>2</v>
      </c>
      <c r="AN325">
        <v>0</v>
      </c>
      <c r="AO325">
        <v>1</v>
      </c>
      <c r="AP325">
        <v>1</v>
      </c>
      <c r="AQ325">
        <v>0</v>
      </c>
      <c r="AR325">
        <v>0</v>
      </c>
      <c r="AS325" t="s">
        <v>3</v>
      </c>
      <c r="AT325">
        <v>0.17</v>
      </c>
      <c r="AU325" t="s">
        <v>51</v>
      </c>
      <c r="AV325">
        <v>0</v>
      </c>
      <c r="AW325">
        <v>2</v>
      </c>
      <c r="AX325">
        <v>54046385</v>
      </c>
      <c r="AY325">
        <v>1</v>
      </c>
      <c r="AZ325">
        <v>0</v>
      </c>
      <c r="BA325">
        <v>439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CV325">
        <v>0</v>
      </c>
      <c r="CW325">
        <f>ROUND(Y325*Source!I317,9)</f>
        <v>5.7375000000000002E-2</v>
      </c>
      <c r="CX325">
        <f>ROUND(Y325*Source!I317,9)</f>
        <v>5.7375000000000002E-2</v>
      </c>
      <c r="CY325">
        <f>AB325</f>
        <v>1051.9000000000001</v>
      </c>
      <c r="CZ325">
        <f>AF325</f>
        <v>83.1</v>
      </c>
      <c r="DA325">
        <f>AJ325</f>
        <v>12.09</v>
      </c>
      <c r="DB325">
        <f>ROUND((ROUND(AT325*CZ325,2)*1.25),6)</f>
        <v>17.662500000000001</v>
      </c>
      <c r="DC325">
        <f>ROUND((ROUND(AT325*AG325,2)*1.25),6)</f>
        <v>2.6875</v>
      </c>
      <c r="DD325" t="s">
        <v>3</v>
      </c>
      <c r="DE325" t="s">
        <v>3</v>
      </c>
      <c r="DF325">
        <f>ROUND(ROUND(AE325,2)*CX325,2)</f>
        <v>0</v>
      </c>
      <c r="DG325">
        <f>ROUND(ROUND(AF325*AJ325,2)*CX325,2)</f>
        <v>57.64</v>
      </c>
      <c r="DH325">
        <f>ROUND(ROUND(AG325*AK325,2)*CX325,2)</f>
        <v>21.79</v>
      </c>
      <c r="DI325">
        <f t="shared" si="142"/>
        <v>0</v>
      </c>
      <c r="DJ325">
        <f>DG325</f>
        <v>57.64</v>
      </c>
      <c r="DK325">
        <v>0</v>
      </c>
      <c r="DL325" t="s">
        <v>3</v>
      </c>
      <c r="DM325">
        <v>0</v>
      </c>
      <c r="DN325" t="s">
        <v>3</v>
      </c>
      <c r="DO325">
        <v>0</v>
      </c>
    </row>
    <row r="326" spans="1:119" x14ac:dyDescent="0.2">
      <c r="A326">
        <f>ROW(Source!A317)</f>
        <v>317</v>
      </c>
      <c r="B326">
        <v>53860087</v>
      </c>
      <c r="C326">
        <v>54046378</v>
      </c>
      <c r="D326">
        <v>29556153</v>
      </c>
      <c r="E326">
        <v>1</v>
      </c>
      <c r="F326">
        <v>1</v>
      </c>
      <c r="G326">
        <v>29506949</v>
      </c>
      <c r="H326">
        <v>3</v>
      </c>
      <c r="I326" t="s">
        <v>841</v>
      </c>
      <c r="J326" t="s">
        <v>842</v>
      </c>
      <c r="K326" t="s">
        <v>843</v>
      </c>
      <c r="L326">
        <v>1296</v>
      </c>
      <c r="N326">
        <v>1002</v>
      </c>
      <c r="O326" t="s">
        <v>154</v>
      </c>
      <c r="P326" t="s">
        <v>154</v>
      </c>
      <c r="Q326">
        <v>1</v>
      </c>
      <c r="W326">
        <v>0</v>
      </c>
      <c r="X326">
        <v>1307744319</v>
      </c>
      <c r="Y326">
        <f t="shared" ref="Y326:Y331" si="143">AT326</f>
        <v>33.979999999999997</v>
      </c>
      <c r="AA326">
        <v>268.02999999999997</v>
      </c>
      <c r="AB326">
        <v>0</v>
      </c>
      <c r="AC326">
        <v>0</v>
      </c>
      <c r="AD326">
        <v>0</v>
      </c>
      <c r="AE326">
        <v>54.7</v>
      </c>
      <c r="AF326">
        <v>0</v>
      </c>
      <c r="AG326">
        <v>0</v>
      </c>
      <c r="AH326">
        <v>0</v>
      </c>
      <c r="AI326">
        <v>4.9000000000000004</v>
      </c>
      <c r="AJ326">
        <v>1</v>
      </c>
      <c r="AK326">
        <v>1</v>
      </c>
      <c r="AL326">
        <v>1</v>
      </c>
      <c r="AM326">
        <v>2</v>
      </c>
      <c r="AN326">
        <v>0</v>
      </c>
      <c r="AO326">
        <v>1</v>
      </c>
      <c r="AP326">
        <v>1</v>
      </c>
      <c r="AQ326">
        <v>0</v>
      </c>
      <c r="AR326">
        <v>0</v>
      </c>
      <c r="AS326" t="s">
        <v>3</v>
      </c>
      <c r="AT326">
        <v>33.979999999999997</v>
      </c>
      <c r="AU326" t="s">
        <v>3</v>
      </c>
      <c r="AV326">
        <v>0</v>
      </c>
      <c r="AW326">
        <v>2</v>
      </c>
      <c r="AX326">
        <v>54046386</v>
      </c>
      <c r="AY326">
        <v>1</v>
      </c>
      <c r="AZ326">
        <v>0</v>
      </c>
      <c r="BA326">
        <v>440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CV326">
        <v>0</v>
      </c>
      <c r="CW326">
        <v>0</v>
      </c>
      <c r="CX326">
        <f>ROUND(Y326*Source!I317,9)</f>
        <v>9.1745999999999999</v>
      </c>
      <c r="CY326">
        <f>AA326</f>
        <v>268.02999999999997</v>
      </c>
      <c r="CZ326">
        <f>AE326</f>
        <v>54.7</v>
      </c>
      <c r="DA326">
        <f>AI326</f>
        <v>4.9000000000000004</v>
      </c>
      <c r="DB326">
        <f t="shared" ref="DB326:DB331" si="144">ROUND(ROUND(AT326*CZ326,2),6)</f>
        <v>1858.71</v>
      </c>
      <c r="DC326">
        <f t="shared" ref="DC326:DC331" si="145">ROUND(ROUND(AT326*AG326,2),6)</f>
        <v>0</v>
      </c>
      <c r="DD326" t="s">
        <v>3</v>
      </c>
      <c r="DE326" t="s">
        <v>3</v>
      </c>
      <c r="DF326">
        <f>ROUND(ROUND(AE326*AI326,2)*CX326,2)</f>
        <v>2459.0700000000002</v>
      </c>
      <c r="DG326">
        <f t="shared" ref="DG326:DG332" si="146">ROUND(ROUND(AF326,2)*CX326,2)</f>
        <v>0</v>
      </c>
      <c r="DH326">
        <f t="shared" ref="DH326:DH332" si="147">ROUND(ROUND(AG326,2)*CX326,2)</f>
        <v>0</v>
      </c>
      <c r="DI326">
        <f t="shared" si="142"/>
        <v>0</v>
      </c>
      <c r="DJ326">
        <f>DF326</f>
        <v>2459.0700000000002</v>
      </c>
      <c r="DK326">
        <v>0</v>
      </c>
      <c r="DL326" t="s">
        <v>3</v>
      </c>
      <c r="DM326">
        <v>0</v>
      </c>
      <c r="DN326" t="s">
        <v>3</v>
      </c>
      <c r="DO326">
        <v>0</v>
      </c>
    </row>
    <row r="327" spans="1:119" x14ac:dyDescent="0.2">
      <c r="A327">
        <f>ROW(Source!A317)</f>
        <v>317</v>
      </c>
      <c r="B327">
        <v>53860087</v>
      </c>
      <c r="C327">
        <v>54046378</v>
      </c>
      <c r="D327">
        <v>29579542</v>
      </c>
      <c r="E327">
        <v>1</v>
      </c>
      <c r="F327">
        <v>1</v>
      </c>
      <c r="G327">
        <v>29506949</v>
      </c>
      <c r="H327">
        <v>3</v>
      </c>
      <c r="I327" t="s">
        <v>595</v>
      </c>
      <c r="J327" t="s">
        <v>597</v>
      </c>
      <c r="K327" t="s">
        <v>596</v>
      </c>
      <c r="L327">
        <v>1354</v>
      </c>
      <c r="N327">
        <v>1010</v>
      </c>
      <c r="O327" t="s">
        <v>536</v>
      </c>
      <c r="P327" t="s">
        <v>536</v>
      </c>
      <c r="Q327">
        <v>1</v>
      </c>
      <c r="W327">
        <v>0</v>
      </c>
      <c r="X327">
        <v>1116063226</v>
      </c>
      <c r="Y327">
        <f t="shared" si="143"/>
        <v>133.33333300000001</v>
      </c>
      <c r="AA327">
        <v>45.33</v>
      </c>
      <c r="AB327">
        <v>0</v>
      </c>
      <c r="AC327">
        <v>0</v>
      </c>
      <c r="AD327">
        <v>0</v>
      </c>
      <c r="AE327">
        <v>10.42</v>
      </c>
      <c r="AF327">
        <v>0</v>
      </c>
      <c r="AG327">
        <v>0</v>
      </c>
      <c r="AH327">
        <v>0</v>
      </c>
      <c r="AI327">
        <v>4.3499999999999996</v>
      </c>
      <c r="AJ327">
        <v>1</v>
      </c>
      <c r="AK327">
        <v>1</v>
      </c>
      <c r="AL327">
        <v>1</v>
      </c>
      <c r="AM327">
        <v>0</v>
      </c>
      <c r="AN327">
        <v>0</v>
      </c>
      <c r="AO327">
        <v>0</v>
      </c>
      <c r="AP327">
        <v>1</v>
      </c>
      <c r="AQ327">
        <v>0</v>
      </c>
      <c r="AR327">
        <v>0</v>
      </c>
      <c r="AS327" t="s">
        <v>3</v>
      </c>
      <c r="AT327">
        <v>133.33333300000001</v>
      </c>
      <c r="AU327" t="s">
        <v>3</v>
      </c>
      <c r="AV327">
        <v>0</v>
      </c>
      <c r="AW327">
        <v>1</v>
      </c>
      <c r="AX327">
        <v>-1</v>
      </c>
      <c r="AY327">
        <v>0</v>
      </c>
      <c r="AZ327">
        <v>0</v>
      </c>
      <c r="BA327" t="s">
        <v>3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CV327">
        <v>0</v>
      </c>
      <c r="CW327">
        <v>0</v>
      </c>
      <c r="CX327">
        <f>ROUND(Y327*Source!I317,9)</f>
        <v>35.99999991</v>
      </c>
      <c r="CY327">
        <f>AA327</f>
        <v>45.33</v>
      </c>
      <c r="CZ327">
        <f>AE327</f>
        <v>10.42</v>
      </c>
      <c r="DA327">
        <f>AI327</f>
        <v>4.3499999999999996</v>
      </c>
      <c r="DB327">
        <f t="shared" si="144"/>
        <v>1389.33</v>
      </c>
      <c r="DC327">
        <f t="shared" si="145"/>
        <v>0</v>
      </c>
      <c r="DD327" t="s">
        <v>3</v>
      </c>
      <c r="DE327" t="s">
        <v>3</v>
      </c>
      <c r="DF327">
        <f>ROUND(ROUND(AE327*AI327,2)*CX327,2)</f>
        <v>1631.88</v>
      </c>
      <c r="DG327">
        <f t="shared" si="146"/>
        <v>0</v>
      </c>
      <c r="DH327">
        <f t="shared" si="147"/>
        <v>0</v>
      </c>
      <c r="DI327">
        <f t="shared" si="142"/>
        <v>0</v>
      </c>
      <c r="DJ327">
        <f>DF327</f>
        <v>1631.88</v>
      </c>
      <c r="DK327">
        <v>0</v>
      </c>
      <c r="DL327" t="s">
        <v>3</v>
      </c>
      <c r="DM327">
        <v>0</v>
      </c>
      <c r="DN327" t="s">
        <v>3</v>
      </c>
      <c r="DO327">
        <v>0</v>
      </c>
    </row>
    <row r="328" spans="1:119" x14ac:dyDescent="0.2">
      <c r="A328">
        <f>ROW(Source!A317)</f>
        <v>317</v>
      </c>
      <c r="B328">
        <v>53860087</v>
      </c>
      <c r="C328">
        <v>54046378</v>
      </c>
      <c r="D328">
        <v>29579545</v>
      </c>
      <c r="E328">
        <v>1</v>
      </c>
      <c r="F328">
        <v>1</v>
      </c>
      <c r="G328">
        <v>29506949</v>
      </c>
      <c r="H328">
        <v>3</v>
      </c>
      <c r="I328" t="s">
        <v>591</v>
      </c>
      <c r="J328" t="s">
        <v>593</v>
      </c>
      <c r="K328" t="s">
        <v>592</v>
      </c>
      <c r="L328">
        <v>1301</v>
      </c>
      <c r="N328">
        <v>1003</v>
      </c>
      <c r="O328" t="s">
        <v>125</v>
      </c>
      <c r="P328" t="s">
        <v>125</v>
      </c>
      <c r="Q328">
        <v>1</v>
      </c>
      <c r="W328">
        <v>0</v>
      </c>
      <c r="X328">
        <v>-825674047</v>
      </c>
      <c r="Y328">
        <f t="shared" si="143"/>
        <v>100</v>
      </c>
      <c r="AA328">
        <v>478.48</v>
      </c>
      <c r="AB328">
        <v>0</v>
      </c>
      <c r="AC328">
        <v>0</v>
      </c>
      <c r="AD328">
        <v>0</v>
      </c>
      <c r="AE328">
        <v>156.88</v>
      </c>
      <c r="AF328">
        <v>0</v>
      </c>
      <c r="AG328">
        <v>0</v>
      </c>
      <c r="AH328">
        <v>0</v>
      </c>
      <c r="AI328">
        <v>3.05</v>
      </c>
      <c r="AJ328">
        <v>1</v>
      </c>
      <c r="AK328">
        <v>1</v>
      </c>
      <c r="AL328">
        <v>1</v>
      </c>
      <c r="AM328">
        <v>0</v>
      </c>
      <c r="AN328">
        <v>0</v>
      </c>
      <c r="AO328">
        <v>0</v>
      </c>
      <c r="AP328">
        <v>1</v>
      </c>
      <c r="AQ328">
        <v>0</v>
      </c>
      <c r="AR328">
        <v>0</v>
      </c>
      <c r="AS328" t="s">
        <v>3</v>
      </c>
      <c r="AT328">
        <v>100</v>
      </c>
      <c r="AU328" t="s">
        <v>3</v>
      </c>
      <c r="AV328">
        <v>0</v>
      </c>
      <c r="AW328">
        <v>1</v>
      </c>
      <c r="AX328">
        <v>-1</v>
      </c>
      <c r="AY328">
        <v>0</v>
      </c>
      <c r="AZ328">
        <v>0</v>
      </c>
      <c r="BA328" t="s">
        <v>3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CV328">
        <v>0</v>
      </c>
      <c r="CW328">
        <v>0</v>
      </c>
      <c r="CX328">
        <f>ROUND(Y328*Source!I317,9)</f>
        <v>27</v>
      </c>
      <c r="CY328">
        <f>AA328</f>
        <v>478.48</v>
      </c>
      <c r="CZ328">
        <f>AE328</f>
        <v>156.88</v>
      </c>
      <c r="DA328">
        <f>AI328</f>
        <v>3.05</v>
      </c>
      <c r="DB328">
        <f t="shared" si="144"/>
        <v>15688</v>
      </c>
      <c r="DC328">
        <f t="shared" si="145"/>
        <v>0</v>
      </c>
      <c r="DD328" t="s">
        <v>3</v>
      </c>
      <c r="DE328" t="s">
        <v>3</v>
      </c>
      <c r="DF328">
        <f>ROUND(ROUND(AE328*AI328,2)*CX328,2)</f>
        <v>12918.96</v>
      </c>
      <c r="DG328">
        <f t="shared" si="146"/>
        <v>0</v>
      </c>
      <c r="DH328">
        <f t="shared" si="147"/>
        <v>0</v>
      </c>
      <c r="DI328">
        <f t="shared" si="142"/>
        <v>0</v>
      </c>
      <c r="DJ328">
        <f>DF328</f>
        <v>12918.96</v>
      </c>
      <c r="DK328">
        <v>0</v>
      </c>
      <c r="DL328" t="s">
        <v>3</v>
      </c>
      <c r="DM328">
        <v>0</v>
      </c>
      <c r="DN328" t="s">
        <v>3</v>
      </c>
      <c r="DO328">
        <v>0</v>
      </c>
    </row>
    <row r="329" spans="1:119" x14ac:dyDescent="0.2">
      <c r="A329">
        <f>ROW(Source!A320)</f>
        <v>320</v>
      </c>
      <c r="B329">
        <v>53860087</v>
      </c>
      <c r="C329">
        <v>54046391</v>
      </c>
      <c r="D329">
        <v>29506954</v>
      </c>
      <c r="E329">
        <v>29506949</v>
      </c>
      <c r="F329">
        <v>1</v>
      </c>
      <c r="G329">
        <v>29506949</v>
      </c>
      <c r="H329">
        <v>1</v>
      </c>
      <c r="I329" t="s">
        <v>638</v>
      </c>
      <c r="J329" t="s">
        <v>3</v>
      </c>
      <c r="K329" t="s">
        <v>639</v>
      </c>
      <c r="L329">
        <v>1191</v>
      </c>
      <c r="N329">
        <v>1013</v>
      </c>
      <c r="O329" t="s">
        <v>640</v>
      </c>
      <c r="P329" t="s">
        <v>640</v>
      </c>
      <c r="Q329">
        <v>1</v>
      </c>
      <c r="W329">
        <v>0</v>
      </c>
      <c r="X329">
        <v>476480486</v>
      </c>
      <c r="Y329">
        <f t="shared" si="143"/>
        <v>385.2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1</v>
      </c>
      <c r="AJ329">
        <v>1</v>
      </c>
      <c r="AK329">
        <v>1</v>
      </c>
      <c r="AL329">
        <v>1</v>
      </c>
      <c r="AM329">
        <v>-2</v>
      </c>
      <c r="AN329">
        <v>0</v>
      </c>
      <c r="AO329">
        <v>1</v>
      </c>
      <c r="AP329">
        <v>1</v>
      </c>
      <c r="AQ329">
        <v>0</v>
      </c>
      <c r="AR329">
        <v>0</v>
      </c>
      <c r="AS329" t="s">
        <v>3</v>
      </c>
      <c r="AT329">
        <v>385.2</v>
      </c>
      <c r="AU329" t="s">
        <v>3</v>
      </c>
      <c r="AV329">
        <v>1</v>
      </c>
      <c r="AW329">
        <v>2</v>
      </c>
      <c r="AX329">
        <v>54046395</v>
      </c>
      <c r="AY329">
        <v>1</v>
      </c>
      <c r="AZ329">
        <v>0</v>
      </c>
      <c r="BA329">
        <v>443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CU329">
        <f>ROUND(AT329*Source!I320*AH329*AL329,2)</f>
        <v>0</v>
      </c>
      <c r="CV329">
        <f>ROUND(Y329*Source!I320,9)</f>
        <v>57.78</v>
      </c>
      <c r="CW329">
        <v>0</v>
      </c>
      <c r="CX329">
        <f>ROUND(Y329*Source!I320,9)</f>
        <v>57.78</v>
      </c>
      <c r="CY329">
        <f>AD329</f>
        <v>0</v>
      </c>
      <c r="CZ329">
        <f>AH329</f>
        <v>0</v>
      </c>
      <c r="DA329">
        <f>AL329</f>
        <v>1</v>
      </c>
      <c r="DB329">
        <f t="shared" si="144"/>
        <v>0</v>
      </c>
      <c r="DC329">
        <f t="shared" si="145"/>
        <v>0</v>
      </c>
      <c r="DD329" t="s">
        <v>3</v>
      </c>
      <c r="DE329" t="s">
        <v>3</v>
      </c>
      <c r="DF329">
        <f>ROUND(ROUND(AE329,2)*CX329,2)</f>
        <v>0</v>
      </c>
      <c r="DG329">
        <f t="shared" si="146"/>
        <v>0</v>
      </c>
      <c r="DH329">
        <f t="shared" si="147"/>
        <v>0</v>
      </c>
      <c r="DI329">
        <f t="shared" si="142"/>
        <v>0</v>
      </c>
      <c r="DJ329">
        <f>DI329</f>
        <v>0</v>
      </c>
      <c r="DK329">
        <v>0</v>
      </c>
      <c r="DL329" t="s">
        <v>3</v>
      </c>
      <c r="DM329">
        <v>0</v>
      </c>
      <c r="DN329" t="s">
        <v>3</v>
      </c>
      <c r="DO329">
        <v>0</v>
      </c>
    </row>
    <row r="330" spans="1:119" x14ac:dyDescent="0.2">
      <c r="A330">
        <f>ROW(Source!A320)</f>
        <v>320</v>
      </c>
      <c r="B330">
        <v>53860087</v>
      </c>
      <c r="C330">
        <v>54046391</v>
      </c>
      <c r="D330">
        <v>29574116</v>
      </c>
      <c r="E330">
        <v>1</v>
      </c>
      <c r="F330">
        <v>1</v>
      </c>
      <c r="G330">
        <v>29506949</v>
      </c>
      <c r="H330">
        <v>3</v>
      </c>
      <c r="I330" t="s">
        <v>78</v>
      </c>
      <c r="J330" t="s">
        <v>80</v>
      </c>
      <c r="K330" t="s">
        <v>79</v>
      </c>
      <c r="L330">
        <v>1339</v>
      </c>
      <c r="N330">
        <v>1007</v>
      </c>
      <c r="O330" t="s">
        <v>70</v>
      </c>
      <c r="P330" t="s">
        <v>70</v>
      </c>
      <c r="Q330">
        <v>1</v>
      </c>
      <c r="W330">
        <v>0</v>
      </c>
      <c r="X330">
        <v>847230343</v>
      </c>
      <c r="Y330">
        <f t="shared" si="143"/>
        <v>4.4000000000000004</v>
      </c>
      <c r="AA330">
        <v>4542.34</v>
      </c>
      <c r="AB330">
        <v>0</v>
      </c>
      <c r="AC330">
        <v>0</v>
      </c>
      <c r="AD330">
        <v>0</v>
      </c>
      <c r="AE330">
        <v>481.69</v>
      </c>
      <c r="AF330">
        <v>0</v>
      </c>
      <c r="AG330">
        <v>0</v>
      </c>
      <c r="AH330">
        <v>0</v>
      </c>
      <c r="AI330">
        <v>9.43</v>
      </c>
      <c r="AJ330">
        <v>1</v>
      </c>
      <c r="AK330">
        <v>1</v>
      </c>
      <c r="AL330">
        <v>1</v>
      </c>
      <c r="AM330">
        <v>0</v>
      </c>
      <c r="AN330">
        <v>0</v>
      </c>
      <c r="AO330">
        <v>0</v>
      </c>
      <c r="AP330">
        <v>1</v>
      </c>
      <c r="AQ330">
        <v>0</v>
      </c>
      <c r="AR330">
        <v>0</v>
      </c>
      <c r="AS330" t="s">
        <v>3</v>
      </c>
      <c r="AT330">
        <v>4.4000000000000004</v>
      </c>
      <c r="AU330" t="s">
        <v>3</v>
      </c>
      <c r="AV330">
        <v>0</v>
      </c>
      <c r="AW330">
        <v>1</v>
      </c>
      <c r="AX330">
        <v>-1</v>
      </c>
      <c r="AY330">
        <v>0</v>
      </c>
      <c r="AZ330">
        <v>0</v>
      </c>
      <c r="BA330" t="s">
        <v>3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CV330">
        <v>0</v>
      </c>
      <c r="CW330">
        <v>0</v>
      </c>
      <c r="CX330">
        <f>ROUND(Y330*Source!I320,9)</f>
        <v>0.66</v>
      </c>
      <c r="CY330">
        <f>AA330</f>
        <v>4542.34</v>
      </c>
      <c r="CZ330">
        <f>AE330</f>
        <v>481.69</v>
      </c>
      <c r="DA330">
        <f>AI330</f>
        <v>9.43</v>
      </c>
      <c r="DB330">
        <f t="shared" si="144"/>
        <v>2119.44</v>
      </c>
      <c r="DC330">
        <f t="shared" si="145"/>
        <v>0</v>
      </c>
      <c r="DD330" t="s">
        <v>3</v>
      </c>
      <c r="DE330" t="s">
        <v>3</v>
      </c>
      <c r="DF330">
        <f>ROUND(ROUND(AE330*AI330,2)*CX330,2)</f>
        <v>2997.94</v>
      </c>
      <c r="DG330">
        <f t="shared" si="146"/>
        <v>0</v>
      </c>
      <c r="DH330">
        <f t="shared" si="147"/>
        <v>0</v>
      </c>
      <c r="DI330">
        <f t="shared" si="142"/>
        <v>0</v>
      </c>
      <c r="DJ330">
        <f>DF330</f>
        <v>2997.94</v>
      </c>
      <c r="DK330">
        <v>0</v>
      </c>
      <c r="DL330" t="s">
        <v>3</v>
      </c>
      <c r="DM330">
        <v>0</v>
      </c>
      <c r="DN330" t="s">
        <v>3</v>
      </c>
      <c r="DO330">
        <v>0</v>
      </c>
    </row>
    <row r="331" spans="1:119" x14ac:dyDescent="0.2">
      <c r="A331">
        <f>ROW(Source!A320)</f>
        <v>320</v>
      </c>
      <c r="B331">
        <v>53860087</v>
      </c>
      <c r="C331">
        <v>54046391</v>
      </c>
      <c r="D331">
        <v>52542855</v>
      </c>
      <c r="E331">
        <v>29506949</v>
      </c>
      <c r="F331">
        <v>1</v>
      </c>
      <c r="G331">
        <v>29506949</v>
      </c>
      <c r="H331">
        <v>3</v>
      </c>
      <c r="I331" t="s">
        <v>648</v>
      </c>
      <c r="J331" t="s">
        <v>3</v>
      </c>
      <c r="K331" t="s">
        <v>649</v>
      </c>
      <c r="L331">
        <v>1348</v>
      </c>
      <c r="N331">
        <v>1009</v>
      </c>
      <c r="O331" t="s">
        <v>75</v>
      </c>
      <c r="P331" t="s">
        <v>75</v>
      </c>
      <c r="Q331">
        <v>1000</v>
      </c>
      <c r="W331">
        <v>0</v>
      </c>
      <c r="X331">
        <v>1489638031</v>
      </c>
      <c r="Y331">
        <f t="shared" si="143"/>
        <v>8.1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1</v>
      </c>
      <c r="AJ331">
        <v>1</v>
      </c>
      <c r="AK331">
        <v>1</v>
      </c>
      <c r="AL331">
        <v>1</v>
      </c>
      <c r="AM331">
        <v>-2</v>
      </c>
      <c r="AN331">
        <v>0</v>
      </c>
      <c r="AO331">
        <v>1</v>
      </c>
      <c r="AP331">
        <v>1</v>
      </c>
      <c r="AQ331">
        <v>0</v>
      </c>
      <c r="AR331">
        <v>0</v>
      </c>
      <c r="AS331" t="s">
        <v>3</v>
      </c>
      <c r="AT331">
        <v>8.1</v>
      </c>
      <c r="AU331" t="s">
        <v>3</v>
      </c>
      <c r="AV331">
        <v>0</v>
      </c>
      <c r="AW331">
        <v>2</v>
      </c>
      <c r="AX331">
        <v>54046397</v>
      </c>
      <c r="AY331">
        <v>1</v>
      </c>
      <c r="AZ331">
        <v>0</v>
      </c>
      <c r="BA331">
        <v>445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CV331">
        <v>0</v>
      </c>
      <c r="CW331">
        <v>0</v>
      </c>
      <c r="CX331">
        <f>ROUND(Y331*Source!I320,9)</f>
        <v>1.2150000000000001</v>
      </c>
      <c r="CY331">
        <f>AA331</f>
        <v>0</v>
      </c>
      <c r="CZ331">
        <f>AE331</f>
        <v>0</v>
      </c>
      <c r="DA331">
        <f>AI331</f>
        <v>1</v>
      </c>
      <c r="DB331">
        <f t="shared" si="144"/>
        <v>0</v>
      </c>
      <c r="DC331">
        <f t="shared" si="145"/>
        <v>0</v>
      </c>
      <c r="DD331" t="s">
        <v>3</v>
      </c>
      <c r="DE331" t="s">
        <v>3</v>
      </c>
      <c r="DF331">
        <f>ROUND(ROUND(AE331,2)*CX331,2)</f>
        <v>0</v>
      </c>
      <c r="DG331">
        <f t="shared" si="146"/>
        <v>0</v>
      </c>
      <c r="DH331">
        <f t="shared" si="147"/>
        <v>0</v>
      </c>
      <c r="DI331">
        <f t="shared" si="142"/>
        <v>0</v>
      </c>
      <c r="DJ331">
        <f>DF331</f>
        <v>0</v>
      </c>
      <c r="DK331">
        <v>0</v>
      </c>
      <c r="DL331" t="s">
        <v>3</v>
      </c>
      <c r="DM331">
        <v>0</v>
      </c>
      <c r="DN331" t="s">
        <v>3</v>
      </c>
      <c r="DO331">
        <v>0</v>
      </c>
    </row>
    <row r="332" spans="1:119" x14ac:dyDescent="0.2">
      <c r="A332">
        <f>ROW(Source!A322)</f>
        <v>322</v>
      </c>
      <c r="B332">
        <v>53860087</v>
      </c>
      <c r="C332">
        <v>54046399</v>
      </c>
      <c r="D332">
        <v>29506954</v>
      </c>
      <c r="E332">
        <v>29506949</v>
      </c>
      <c r="F332">
        <v>1</v>
      </c>
      <c r="G332">
        <v>29506949</v>
      </c>
      <c r="H332">
        <v>1</v>
      </c>
      <c r="I332" t="s">
        <v>638</v>
      </c>
      <c r="J332" t="s">
        <v>3</v>
      </c>
      <c r="K332" t="s">
        <v>639</v>
      </c>
      <c r="L332">
        <v>1191</v>
      </c>
      <c r="N332">
        <v>1013</v>
      </c>
      <c r="O332" t="s">
        <v>640</v>
      </c>
      <c r="P332" t="s">
        <v>640</v>
      </c>
      <c r="Q332">
        <v>1</v>
      </c>
      <c r="W332">
        <v>0</v>
      </c>
      <c r="X332">
        <v>476480486</v>
      </c>
      <c r="Y332">
        <f>(AT332*1.15)</f>
        <v>50.094000000000001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1</v>
      </c>
      <c r="AJ332">
        <v>1</v>
      </c>
      <c r="AK332">
        <v>1</v>
      </c>
      <c r="AL332">
        <v>1</v>
      </c>
      <c r="AM332">
        <v>-2</v>
      </c>
      <c r="AN332">
        <v>0</v>
      </c>
      <c r="AO332">
        <v>1</v>
      </c>
      <c r="AP332">
        <v>1</v>
      </c>
      <c r="AQ332">
        <v>0</v>
      </c>
      <c r="AR332">
        <v>0</v>
      </c>
      <c r="AS332" t="s">
        <v>3</v>
      </c>
      <c r="AT332">
        <v>43.56</v>
      </c>
      <c r="AU332" t="s">
        <v>52</v>
      </c>
      <c r="AV332">
        <v>1</v>
      </c>
      <c r="AW332">
        <v>2</v>
      </c>
      <c r="AX332">
        <v>54046407</v>
      </c>
      <c r="AY332">
        <v>1</v>
      </c>
      <c r="AZ332">
        <v>0</v>
      </c>
      <c r="BA332">
        <v>446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CU332">
        <f>ROUND(AT332*Source!I322*AH332*AL332,2)</f>
        <v>0</v>
      </c>
      <c r="CV332">
        <f>ROUND(Y332*Source!I322,9)</f>
        <v>7.5141</v>
      </c>
      <c r="CW332">
        <v>0</v>
      </c>
      <c r="CX332">
        <f>ROUND(Y332*Source!I322,9)</f>
        <v>7.5141</v>
      </c>
      <c r="CY332">
        <f>AD332</f>
        <v>0</v>
      </c>
      <c r="CZ332">
        <f>AH332</f>
        <v>0</v>
      </c>
      <c r="DA332">
        <f>AL332</f>
        <v>1</v>
      </c>
      <c r="DB332">
        <f>ROUND((ROUND(AT332*CZ332,2)*1.15),6)</f>
        <v>0</v>
      </c>
      <c r="DC332">
        <f>ROUND((ROUND(AT332*AG332,2)*1.15),6)</f>
        <v>0</v>
      </c>
      <c r="DD332" t="s">
        <v>3</v>
      </c>
      <c r="DE332" t="s">
        <v>3</v>
      </c>
      <c r="DF332">
        <f>ROUND(ROUND(AE332,2)*CX332,2)</f>
        <v>0</v>
      </c>
      <c r="DG332">
        <f t="shared" si="146"/>
        <v>0</v>
      </c>
      <c r="DH332">
        <f t="shared" si="147"/>
        <v>0</v>
      </c>
      <c r="DI332">
        <f t="shared" si="142"/>
        <v>0</v>
      </c>
      <c r="DJ332">
        <f>DI332</f>
        <v>0</v>
      </c>
      <c r="DK332">
        <v>0</v>
      </c>
      <c r="DL332" t="s">
        <v>3</v>
      </c>
      <c r="DM332">
        <v>0</v>
      </c>
      <c r="DN332" t="s">
        <v>3</v>
      </c>
      <c r="DO332">
        <v>0</v>
      </c>
    </row>
    <row r="333" spans="1:119" x14ac:dyDescent="0.2">
      <c r="A333">
        <f>ROW(Source!A322)</f>
        <v>322</v>
      </c>
      <c r="B333">
        <v>53860087</v>
      </c>
      <c r="C333">
        <v>54046399</v>
      </c>
      <c r="D333">
        <v>29580491</v>
      </c>
      <c r="E333">
        <v>1</v>
      </c>
      <c r="F333">
        <v>1</v>
      </c>
      <c r="G333">
        <v>29506949</v>
      </c>
      <c r="H333">
        <v>2</v>
      </c>
      <c r="I333" t="s">
        <v>650</v>
      </c>
      <c r="J333" t="s">
        <v>651</v>
      </c>
      <c r="K333" t="s">
        <v>652</v>
      </c>
      <c r="L333">
        <v>1368</v>
      </c>
      <c r="N333">
        <v>1011</v>
      </c>
      <c r="O333" t="s">
        <v>647</v>
      </c>
      <c r="P333" t="s">
        <v>647</v>
      </c>
      <c r="Q333">
        <v>1</v>
      </c>
      <c r="W333">
        <v>0</v>
      </c>
      <c r="X333">
        <v>-1440889904</v>
      </c>
      <c r="Y333">
        <f>(AT333*1.25)</f>
        <v>0.1875</v>
      </c>
      <c r="AA333">
        <v>0</v>
      </c>
      <c r="AB333">
        <v>1029.8</v>
      </c>
      <c r="AC333">
        <v>389.36</v>
      </c>
      <c r="AD333">
        <v>0</v>
      </c>
      <c r="AE333">
        <v>0</v>
      </c>
      <c r="AF333">
        <v>83.1</v>
      </c>
      <c r="AG333">
        <v>12.62</v>
      </c>
      <c r="AH333">
        <v>0</v>
      </c>
      <c r="AI333">
        <v>1</v>
      </c>
      <c r="AJ333">
        <v>12.09</v>
      </c>
      <c r="AK333">
        <v>30.1</v>
      </c>
      <c r="AL333">
        <v>1</v>
      </c>
      <c r="AM333">
        <v>2</v>
      </c>
      <c r="AN333">
        <v>0</v>
      </c>
      <c r="AO333">
        <v>1</v>
      </c>
      <c r="AP333">
        <v>1</v>
      </c>
      <c r="AQ333">
        <v>0</v>
      </c>
      <c r="AR333">
        <v>0</v>
      </c>
      <c r="AS333" t="s">
        <v>3</v>
      </c>
      <c r="AT333">
        <v>0.15</v>
      </c>
      <c r="AU333" t="s">
        <v>51</v>
      </c>
      <c r="AV333">
        <v>0</v>
      </c>
      <c r="AW333">
        <v>2</v>
      </c>
      <c r="AX333">
        <v>54046408</v>
      </c>
      <c r="AY333">
        <v>1</v>
      </c>
      <c r="AZ333">
        <v>0</v>
      </c>
      <c r="BA333">
        <v>447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CV333">
        <v>0</v>
      </c>
      <c r="CW333">
        <f>ROUND(Y333*Source!I322,9)</f>
        <v>2.8125000000000001E-2</v>
      </c>
      <c r="CX333">
        <f>ROUND(Y333*Source!I322,9)</f>
        <v>2.8125000000000001E-2</v>
      </c>
      <c r="CY333">
        <f>AB333</f>
        <v>1029.8</v>
      </c>
      <c r="CZ333">
        <f>AF333</f>
        <v>83.1</v>
      </c>
      <c r="DA333">
        <f>AJ333</f>
        <v>12.09</v>
      </c>
      <c r="DB333">
        <f>ROUND((ROUND(AT333*CZ333,2)*1.25),6)</f>
        <v>15.5875</v>
      </c>
      <c r="DC333">
        <f>ROUND((ROUND(AT333*AG333,2)*1.25),6)</f>
        <v>2.3624999999999998</v>
      </c>
      <c r="DD333" t="s">
        <v>3</v>
      </c>
      <c r="DE333" t="s">
        <v>3</v>
      </c>
      <c r="DF333">
        <f>ROUND(ROUND(AE333,2)*CX333,2)</f>
        <v>0</v>
      </c>
      <c r="DG333">
        <f>ROUND(ROUND(AF333*AJ333,2)*CX333,2)</f>
        <v>28.26</v>
      </c>
      <c r="DH333">
        <f>ROUND(ROUND(AG333*AK333,2)*CX333,2)</f>
        <v>10.68</v>
      </c>
      <c r="DI333">
        <f t="shared" si="142"/>
        <v>0</v>
      </c>
      <c r="DJ333">
        <f>DG333</f>
        <v>28.26</v>
      </c>
      <c r="DK333">
        <v>0</v>
      </c>
      <c r="DL333" t="s">
        <v>3</v>
      </c>
      <c r="DM333">
        <v>0</v>
      </c>
      <c r="DN333" t="s">
        <v>3</v>
      </c>
      <c r="DO333">
        <v>0</v>
      </c>
    </row>
    <row r="334" spans="1:119" x14ac:dyDescent="0.2">
      <c r="A334">
        <f>ROW(Source!A322)</f>
        <v>322</v>
      </c>
      <c r="B334">
        <v>53860087</v>
      </c>
      <c r="C334">
        <v>54046399</v>
      </c>
      <c r="D334">
        <v>29555595</v>
      </c>
      <c r="E334">
        <v>1</v>
      </c>
      <c r="F334">
        <v>1</v>
      </c>
      <c r="G334">
        <v>29506949</v>
      </c>
      <c r="H334">
        <v>3</v>
      </c>
      <c r="I334" t="s">
        <v>656</v>
      </c>
      <c r="J334" t="s">
        <v>657</v>
      </c>
      <c r="K334" t="s">
        <v>658</v>
      </c>
      <c r="L334">
        <v>1346</v>
      </c>
      <c r="N334">
        <v>1009</v>
      </c>
      <c r="O334" t="s">
        <v>58</v>
      </c>
      <c r="P334" t="s">
        <v>58</v>
      </c>
      <c r="Q334">
        <v>1</v>
      </c>
      <c r="W334">
        <v>0</v>
      </c>
      <c r="X334">
        <v>622621594</v>
      </c>
      <c r="Y334">
        <f>AT334</f>
        <v>0.31</v>
      </c>
      <c r="AA334">
        <v>53.55</v>
      </c>
      <c r="AB334">
        <v>0</v>
      </c>
      <c r="AC334">
        <v>0</v>
      </c>
      <c r="AD334">
        <v>0</v>
      </c>
      <c r="AE334">
        <v>1.61</v>
      </c>
      <c r="AF334">
        <v>0</v>
      </c>
      <c r="AG334">
        <v>0</v>
      </c>
      <c r="AH334">
        <v>0</v>
      </c>
      <c r="AI334">
        <v>33.26</v>
      </c>
      <c r="AJ334">
        <v>1</v>
      </c>
      <c r="AK334">
        <v>1</v>
      </c>
      <c r="AL334">
        <v>1</v>
      </c>
      <c r="AM334">
        <v>2</v>
      </c>
      <c r="AN334">
        <v>0</v>
      </c>
      <c r="AO334">
        <v>1</v>
      </c>
      <c r="AP334">
        <v>1</v>
      </c>
      <c r="AQ334">
        <v>0</v>
      </c>
      <c r="AR334">
        <v>0</v>
      </c>
      <c r="AS334" t="s">
        <v>3</v>
      </c>
      <c r="AT334">
        <v>0.31</v>
      </c>
      <c r="AU334" t="s">
        <v>3</v>
      </c>
      <c r="AV334">
        <v>0</v>
      </c>
      <c r="AW334">
        <v>2</v>
      </c>
      <c r="AX334">
        <v>54046409</v>
      </c>
      <c r="AY334">
        <v>1</v>
      </c>
      <c r="AZ334">
        <v>0</v>
      </c>
      <c r="BA334">
        <v>448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CV334">
        <v>0</v>
      </c>
      <c r="CW334">
        <v>0</v>
      </c>
      <c r="CX334">
        <f>ROUND(Y334*Source!I322,9)</f>
        <v>4.65E-2</v>
      </c>
      <c r="CY334">
        <f>AA334</f>
        <v>53.55</v>
      </c>
      <c r="CZ334">
        <f>AE334</f>
        <v>1.61</v>
      </c>
      <c r="DA334">
        <f>AI334</f>
        <v>33.26</v>
      </c>
      <c r="DB334">
        <f>ROUND(ROUND(AT334*CZ334,2),6)</f>
        <v>0.5</v>
      </c>
      <c r="DC334">
        <f>ROUND(ROUND(AT334*AG334,2),6)</f>
        <v>0</v>
      </c>
      <c r="DD334" t="s">
        <v>3</v>
      </c>
      <c r="DE334" t="s">
        <v>3</v>
      </c>
      <c r="DF334">
        <f>ROUND(ROUND(AE334*AI334,2)*CX334,2)</f>
        <v>2.4900000000000002</v>
      </c>
      <c r="DG334">
        <f>ROUND(ROUND(AF334,2)*CX334,2)</f>
        <v>0</v>
      </c>
      <c r="DH334">
        <f>ROUND(ROUND(AG334,2)*CX334,2)</f>
        <v>0</v>
      </c>
      <c r="DI334">
        <f t="shared" si="142"/>
        <v>0</v>
      </c>
      <c r="DJ334">
        <f>DF334</f>
        <v>2.4900000000000002</v>
      </c>
      <c r="DK334">
        <v>0</v>
      </c>
      <c r="DL334" t="s">
        <v>3</v>
      </c>
      <c r="DM334">
        <v>0</v>
      </c>
      <c r="DN334" t="s">
        <v>3</v>
      </c>
      <c r="DO334">
        <v>0</v>
      </c>
    </row>
    <row r="335" spans="1:119" x14ac:dyDescent="0.2">
      <c r="A335">
        <f>ROW(Source!A322)</f>
        <v>322</v>
      </c>
      <c r="B335">
        <v>53860087</v>
      </c>
      <c r="C335">
        <v>54046399</v>
      </c>
      <c r="D335">
        <v>29556811</v>
      </c>
      <c r="E335">
        <v>1</v>
      </c>
      <c r="F335">
        <v>1</v>
      </c>
      <c r="G335">
        <v>29506949</v>
      </c>
      <c r="H335">
        <v>3</v>
      </c>
      <c r="I335" t="s">
        <v>659</v>
      </c>
      <c r="J335" t="s">
        <v>660</v>
      </c>
      <c r="K335" t="s">
        <v>661</v>
      </c>
      <c r="L335">
        <v>1327</v>
      </c>
      <c r="N335">
        <v>1005</v>
      </c>
      <c r="O335" t="s">
        <v>100</v>
      </c>
      <c r="P335" t="s">
        <v>100</v>
      </c>
      <c r="Q335">
        <v>1</v>
      </c>
      <c r="W335">
        <v>0</v>
      </c>
      <c r="X335">
        <v>1579706749</v>
      </c>
      <c r="Y335">
        <f>AT335</f>
        <v>0.84</v>
      </c>
      <c r="AA335">
        <v>151.84</v>
      </c>
      <c r="AB335">
        <v>0</v>
      </c>
      <c r="AC335">
        <v>0</v>
      </c>
      <c r="AD335">
        <v>0</v>
      </c>
      <c r="AE335">
        <v>104</v>
      </c>
      <c r="AF335">
        <v>0</v>
      </c>
      <c r="AG335">
        <v>0</v>
      </c>
      <c r="AH335">
        <v>0</v>
      </c>
      <c r="AI335">
        <v>1.46</v>
      </c>
      <c r="AJ335">
        <v>1</v>
      </c>
      <c r="AK335">
        <v>1</v>
      </c>
      <c r="AL335">
        <v>1</v>
      </c>
      <c r="AM335">
        <v>2</v>
      </c>
      <c r="AN335">
        <v>0</v>
      </c>
      <c r="AO335">
        <v>1</v>
      </c>
      <c r="AP335">
        <v>1</v>
      </c>
      <c r="AQ335">
        <v>0</v>
      </c>
      <c r="AR335">
        <v>0</v>
      </c>
      <c r="AS335" t="s">
        <v>3</v>
      </c>
      <c r="AT335">
        <v>0.84</v>
      </c>
      <c r="AU335" t="s">
        <v>3</v>
      </c>
      <c r="AV335">
        <v>0</v>
      </c>
      <c r="AW335">
        <v>2</v>
      </c>
      <c r="AX335">
        <v>54046410</v>
      </c>
      <c r="AY335">
        <v>1</v>
      </c>
      <c r="AZ335">
        <v>0</v>
      </c>
      <c r="BA335">
        <v>449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CV335">
        <v>0</v>
      </c>
      <c r="CW335">
        <v>0</v>
      </c>
      <c r="CX335">
        <f>ROUND(Y335*Source!I322,9)</f>
        <v>0.126</v>
      </c>
      <c r="CY335">
        <f>AA335</f>
        <v>151.84</v>
      </c>
      <c r="CZ335">
        <f>AE335</f>
        <v>104</v>
      </c>
      <c r="DA335">
        <f>AI335</f>
        <v>1.46</v>
      </c>
      <c r="DB335">
        <f>ROUND(ROUND(AT335*CZ335,2),6)</f>
        <v>87.36</v>
      </c>
      <c r="DC335">
        <f>ROUND(ROUND(AT335*AG335,2),6)</f>
        <v>0</v>
      </c>
      <c r="DD335" t="s">
        <v>3</v>
      </c>
      <c r="DE335" t="s">
        <v>3</v>
      </c>
      <c r="DF335">
        <f>ROUND(ROUND(AE335*AI335,2)*CX335,2)</f>
        <v>19.13</v>
      </c>
      <c r="DG335">
        <f>ROUND(ROUND(AF335,2)*CX335,2)</f>
        <v>0</v>
      </c>
      <c r="DH335">
        <f>ROUND(ROUND(AG335,2)*CX335,2)</f>
        <v>0</v>
      </c>
      <c r="DI335">
        <f t="shared" si="142"/>
        <v>0</v>
      </c>
      <c r="DJ335">
        <f>DF335</f>
        <v>19.13</v>
      </c>
      <c r="DK335">
        <v>0</v>
      </c>
      <c r="DL335" t="s">
        <v>3</v>
      </c>
      <c r="DM335">
        <v>0</v>
      </c>
      <c r="DN335" t="s">
        <v>3</v>
      </c>
      <c r="DO335">
        <v>0</v>
      </c>
    </row>
    <row r="336" spans="1:119" x14ac:dyDescent="0.2">
      <c r="A336">
        <f>ROW(Source!A322)</f>
        <v>322</v>
      </c>
      <c r="B336">
        <v>53860087</v>
      </c>
      <c r="C336">
        <v>54046399</v>
      </c>
      <c r="D336">
        <v>29556824</v>
      </c>
      <c r="E336">
        <v>1</v>
      </c>
      <c r="F336">
        <v>1</v>
      </c>
      <c r="G336">
        <v>29506949</v>
      </c>
      <c r="H336">
        <v>3</v>
      </c>
      <c r="I336" t="s">
        <v>662</v>
      </c>
      <c r="J336" t="s">
        <v>663</v>
      </c>
      <c r="K336" t="s">
        <v>664</v>
      </c>
      <c r="L336">
        <v>1348</v>
      </c>
      <c r="N336">
        <v>1009</v>
      </c>
      <c r="O336" t="s">
        <v>75</v>
      </c>
      <c r="P336" t="s">
        <v>75</v>
      </c>
      <c r="Q336">
        <v>1000</v>
      </c>
      <c r="W336">
        <v>0</v>
      </c>
      <c r="X336">
        <v>580281819</v>
      </c>
      <c r="Y336">
        <f>AT336</f>
        <v>5.0999999999999997E-2</v>
      </c>
      <c r="AA336">
        <v>44232.91</v>
      </c>
      <c r="AB336">
        <v>0</v>
      </c>
      <c r="AC336">
        <v>0</v>
      </c>
      <c r="AD336">
        <v>0</v>
      </c>
      <c r="AE336">
        <v>13953.6</v>
      </c>
      <c r="AF336">
        <v>0</v>
      </c>
      <c r="AG336">
        <v>0</v>
      </c>
      <c r="AH336">
        <v>0</v>
      </c>
      <c r="AI336">
        <v>3.17</v>
      </c>
      <c r="AJ336">
        <v>1</v>
      </c>
      <c r="AK336">
        <v>1</v>
      </c>
      <c r="AL336">
        <v>1</v>
      </c>
      <c r="AM336">
        <v>2</v>
      </c>
      <c r="AN336">
        <v>0</v>
      </c>
      <c r="AO336">
        <v>1</v>
      </c>
      <c r="AP336">
        <v>1</v>
      </c>
      <c r="AQ336">
        <v>0</v>
      </c>
      <c r="AR336">
        <v>0</v>
      </c>
      <c r="AS336" t="s">
        <v>3</v>
      </c>
      <c r="AT336">
        <v>5.0999999999999997E-2</v>
      </c>
      <c r="AU336" t="s">
        <v>3</v>
      </c>
      <c r="AV336">
        <v>0</v>
      </c>
      <c r="AW336">
        <v>2</v>
      </c>
      <c r="AX336">
        <v>54046411</v>
      </c>
      <c r="AY336">
        <v>1</v>
      </c>
      <c r="AZ336">
        <v>0</v>
      </c>
      <c r="BA336">
        <v>450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CV336">
        <v>0</v>
      </c>
      <c r="CW336">
        <v>0</v>
      </c>
      <c r="CX336">
        <f>ROUND(Y336*Source!I322,9)</f>
        <v>7.6499999999999997E-3</v>
      </c>
      <c r="CY336">
        <f>AA336</f>
        <v>44232.91</v>
      </c>
      <c r="CZ336">
        <f>AE336</f>
        <v>13953.6</v>
      </c>
      <c r="DA336">
        <f>AI336</f>
        <v>3.17</v>
      </c>
      <c r="DB336">
        <f>ROUND(ROUND(AT336*CZ336,2),6)</f>
        <v>711.63</v>
      </c>
      <c r="DC336">
        <f>ROUND(ROUND(AT336*AG336,2),6)</f>
        <v>0</v>
      </c>
      <c r="DD336" t="s">
        <v>3</v>
      </c>
      <c r="DE336" t="s">
        <v>3</v>
      </c>
      <c r="DF336">
        <f>ROUND(ROUND(AE336*AI336,2)*CX336,2)</f>
        <v>338.38</v>
      </c>
      <c r="DG336">
        <f>ROUND(ROUND(AF336,2)*CX336,2)</f>
        <v>0</v>
      </c>
      <c r="DH336">
        <f>ROUND(ROUND(AG336,2)*CX336,2)</f>
        <v>0</v>
      </c>
      <c r="DI336">
        <f t="shared" si="142"/>
        <v>0</v>
      </c>
      <c r="DJ336">
        <f>DF336</f>
        <v>338.38</v>
      </c>
      <c r="DK336">
        <v>0</v>
      </c>
      <c r="DL336" t="s">
        <v>3</v>
      </c>
      <c r="DM336">
        <v>0</v>
      </c>
      <c r="DN336" t="s">
        <v>3</v>
      </c>
      <c r="DO336">
        <v>0</v>
      </c>
    </row>
    <row r="337" spans="1:119" x14ac:dyDescent="0.2">
      <c r="A337">
        <f>ROW(Source!A322)</f>
        <v>322</v>
      </c>
      <c r="B337">
        <v>53860087</v>
      </c>
      <c r="C337">
        <v>54046399</v>
      </c>
      <c r="D337">
        <v>29558629</v>
      </c>
      <c r="E337">
        <v>1</v>
      </c>
      <c r="F337">
        <v>1</v>
      </c>
      <c r="G337">
        <v>29506949</v>
      </c>
      <c r="H337">
        <v>3</v>
      </c>
      <c r="I337" t="s">
        <v>602</v>
      </c>
      <c r="J337" t="s">
        <v>604</v>
      </c>
      <c r="K337" t="s">
        <v>603</v>
      </c>
      <c r="L337">
        <v>1296</v>
      </c>
      <c r="N337">
        <v>1002</v>
      </c>
      <c r="O337" t="s">
        <v>154</v>
      </c>
      <c r="P337" t="s">
        <v>154</v>
      </c>
      <c r="Q337">
        <v>1</v>
      </c>
      <c r="W337">
        <v>0</v>
      </c>
      <c r="X337">
        <v>-1353905028</v>
      </c>
      <c r="Y337">
        <f>AT337</f>
        <v>15.333333</v>
      </c>
      <c r="AA337">
        <v>110.47</v>
      </c>
      <c r="AB337">
        <v>0</v>
      </c>
      <c r="AC337">
        <v>0</v>
      </c>
      <c r="AD337">
        <v>0</v>
      </c>
      <c r="AE337">
        <v>40.17</v>
      </c>
      <c r="AF337">
        <v>0</v>
      </c>
      <c r="AG337">
        <v>0</v>
      </c>
      <c r="AH337">
        <v>0</v>
      </c>
      <c r="AI337">
        <v>2.75</v>
      </c>
      <c r="AJ337">
        <v>1</v>
      </c>
      <c r="AK337">
        <v>1</v>
      </c>
      <c r="AL337">
        <v>1</v>
      </c>
      <c r="AM337">
        <v>0</v>
      </c>
      <c r="AN337">
        <v>0</v>
      </c>
      <c r="AO337">
        <v>0</v>
      </c>
      <c r="AP337">
        <v>1</v>
      </c>
      <c r="AQ337">
        <v>0</v>
      </c>
      <c r="AR337">
        <v>0</v>
      </c>
      <c r="AS337" t="s">
        <v>3</v>
      </c>
      <c r="AT337">
        <v>15.333333</v>
      </c>
      <c r="AU337" t="s">
        <v>3</v>
      </c>
      <c r="AV337">
        <v>0</v>
      </c>
      <c r="AW337">
        <v>1</v>
      </c>
      <c r="AX337">
        <v>-1</v>
      </c>
      <c r="AY337">
        <v>0</v>
      </c>
      <c r="AZ337">
        <v>0</v>
      </c>
      <c r="BA337" t="s">
        <v>3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CV337">
        <v>0</v>
      </c>
      <c r="CW337">
        <v>0</v>
      </c>
      <c r="CX337">
        <f>ROUND(Y337*Source!I322,9)</f>
        <v>2.2999999500000001</v>
      </c>
      <c r="CY337">
        <f>AA337</f>
        <v>110.47</v>
      </c>
      <c r="CZ337">
        <f>AE337</f>
        <v>40.17</v>
      </c>
      <c r="DA337">
        <f>AI337</f>
        <v>2.75</v>
      </c>
      <c r="DB337">
        <f>ROUND(ROUND(AT337*CZ337,2),6)</f>
        <v>615.94000000000005</v>
      </c>
      <c r="DC337">
        <f>ROUND(ROUND(AT337*AG337,2),6)</f>
        <v>0</v>
      </c>
      <c r="DD337" t="s">
        <v>3</v>
      </c>
      <c r="DE337" t="s">
        <v>3</v>
      </c>
      <c r="DF337">
        <f>ROUND(ROUND(AE337*AI337,2)*CX337,2)</f>
        <v>254.08</v>
      </c>
      <c r="DG337">
        <f>ROUND(ROUND(AF337,2)*CX337,2)</f>
        <v>0</v>
      </c>
      <c r="DH337">
        <f>ROUND(ROUND(AG337,2)*CX337,2)</f>
        <v>0</v>
      </c>
      <c r="DI337">
        <f t="shared" si="142"/>
        <v>0</v>
      </c>
      <c r="DJ337">
        <f>DF337</f>
        <v>254.08</v>
      </c>
      <c r="DK337">
        <v>0</v>
      </c>
      <c r="DL337" t="s">
        <v>3</v>
      </c>
      <c r="DM337">
        <v>0</v>
      </c>
      <c r="DN337" t="s">
        <v>3</v>
      </c>
      <c r="DO337">
        <v>0</v>
      </c>
    </row>
    <row r="338" spans="1:119" x14ac:dyDescent="0.2">
      <c r="A338">
        <f>ROW(Source!A322)</f>
        <v>322</v>
      </c>
      <c r="B338">
        <v>53860087</v>
      </c>
      <c r="C338">
        <v>54046399</v>
      </c>
      <c r="D338">
        <v>29558996</v>
      </c>
      <c r="E338">
        <v>1</v>
      </c>
      <c r="F338">
        <v>1</v>
      </c>
      <c r="G338">
        <v>29506949</v>
      </c>
      <c r="H338">
        <v>3</v>
      </c>
      <c r="I338" t="s">
        <v>89</v>
      </c>
      <c r="J338" t="s">
        <v>90</v>
      </c>
      <c r="K338" t="s">
        <v>976</v>
      </c>
      <c r="L338">
        <v>1346</v>
      </c>
      <c r="N338">
        <v>1009</v>
      </c>
      <c r="O338" t="s">
        <v>58</v>
      </c>
      <c r="P338" t="s">
        <v>58</v>
      </c>
      <c r="Q338">
        <v>1</v>
      </c>
      <c r="W338">
        <v>0</v>
      </c>
      <c r="X338">
        <v>-1515598087</v>
      </c>
      <c r="Y338">
        <f>AT338</f>
        <v>30</v>
      </c>
      <c r="AA338">
        <v>513.11</v>
      </c>
      <c r="AB338">
        <v>0</v>
      </c>
      <c r="AC338">
        <v>0</v>
      </c>
      <c r="AD338">
        <v>0</v>
      </c>
      <c r="AE338">
        <v>108.25</v>
      </c>
      <c r="AF338">
        <v>0</v>
      </c>
      <c r="AG338">
        <v>0</v>
      </c>
      <c r="AH338">
        <v>0</v>
      </c>
      <c r="AI338">
        <v>4.74</v>
      </c>
      <c r="AJ338">
        <v>1</v>
      </c>
      <c r="AK338">
        <v>1</v>
      </c>
      <c r="AL338">
        <v>1</v>
      </c>
      <c r="AM338">
        <v>0</v>
      </c>
      <c r="AN338">
        <v>0</v>
      </c>
      <c r="AO338">
        <v>0</v>
      </c>
      <c r="AP338">
        <v>1</v>
      </c>
      <c r="AQ338">
        <v>0</v>
      </c>
      <c r="AR338">
        <v>0</v>
      </c>
      <c r="AS338" t="s">
        <v>3</v>
      </c>
      <c r="AT338">
        <v>30</v>
      </c>
      <c r="AU338" t="s">
        <v>3</v>
      </c>
      <c r="AV338">
        <v>0</v>
      </c>
      <c r="AW338">
        <v>1</v>
      </c>
      <c r="AX338">
        <v>-1</v>
      </c>
      <c r="AY338">
        <v>0</v>
      </c>
      <c r="AZ338">
        <v>0</v>
      </c>
      <c r="BA338" t="s">
        <v>3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CV338">
        <v>0</v>
      </c>
      <c r="CW338">
        <v>0</v>
      </c>
      <c r="CX338">
        <f>ROUND(Y338*Source!I322,9)</f>
        <v>4.5</v>
      </c>
      <c r="CY338">
        <f>AA338</f>
        <v>513.11</v>
      </c>
      <c r="CZ338">
        <f>AE338</f>
        <v>108.25</v>
      </c>
      <c r="DA338">
        <f>AI338</f>
        <v>4.74</v>
      </c>
      <c r="DB338">
        <f>ROUND(ROUND(AT338*CZ338,2),6)</f>
        <v>3247.5</v>
      </c>
      <c r="DC338">
        <f>ROUND(ROUND(AT338*AG338,2),6)</f>
        <v>0</v>
      </c>
      <c r="DD338" t="s">
        <v>3</v>
      </c>
      <c r="DE338" t="s">
        <v>3</v>
      </c>
      <c r="DF338">
        <f>ROUND(ROUND(AE338*AI338,2)*CX338,2)</f>
        <v>2309</v>
      </c>
      <c r="DG338">
        <f>ROUND(ROUND(AF338,2)*CX338,2)</f>
        <v>0</v>
      </c>
      <c r="DH338">
        <f>ROUND(ROUND(AG338,2)*CX338,2)</f>
        <v>0</v>
      </c>
      <c r="DI338">
        <f t="shared" si="142"/>
        <v>0</v>
      </c>
      <c r="DJ338">
        <f>DF338</f>
        <v>2309</v>
      </c>
      <c r="DK338">
        <v>0</v>
      </c>
      <c r="DL338" t="s">
        <v>3</v>
      </c>
      <c r="DM338">
        <v>0</v>
      </c>
      <c r="DN338" t="s">
        <v>3</v>
      </c>
      <c r="DO33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ROW(Source!A29)</f>
        <v>29</v>
      </c>
      <c r="B1">
        <v>53861033</v>
      </c>
      <c r="C1">
        <v>53860206</v>
      </c>
      <c r="D1">
        <v>29506954</v>
      </c>
      <c r="E1">
        <v>29506949</v>
      </c>
      <c r="F1">
        <v>1</v>
      </c>
      <c r="G1">
        <v>29506949</v>
      </c>
      <c r="H1">
        <v>1</v>
      </c>
      <c r="I1" t="s">
        <v>638</v>
      </c>
      <c r="J1" t="s">
        <v>3</v>
      </c>
      <c r="K1" t="s">
        <v>639</v>
      </c>
      <c r="L1">
        <v>1191</v>
      </c>
      <c r="N1">
        <v>1013</v>
      </c>
      <c r="O1" t="s">
        <v>640</v>
      </c>
      <c r="P1" t="s">
        <v>640</v>
      </c>
      <c r="Q1">
        <v>1</v>
      </c>
      <c r="X1">
        <v>0.6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0.6</v>
      </c>
      <c r="AH1">
        <v>2</v>
      </c>
      <c r="AI1">
        <v>53860207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ROW(Source!A30)</f>
        <v>30</v>
      </c>
      <c r="B2">
        <v>53861034</v>
      </c>
      <c r="C2">
        <v>53860209</v>
      </c>
      <c r="D2">
        <v>29506954</v>
      </c>
      <c r="E2">
        <v>29506949</v>
      </c>
      <c r="F2">
        <v>1</v>
      </c>
      <c r="G2">
        <v>29506949</v>
      </c>
      <c r="H2">
        <v>1</v>
      </c>
      <c r="I2" t="s">
        <v>638</v>
      </c>
      <c r="J2" t="s">
        <v>3</v>
      </c>
      <c r="K2" t="s">
        <v>639</v>
      </c>
      <c r="L2">
        <v>1191</v>
      </c>
      <c r="N2">
        <v>1013</v>
      </c>
      <c r="O2" t="s">
        <v>640</v>
      </c>
      <c r="P2" t="s">
        <v>640</v>
      </c>
      <c r="Q2">
        <v>1</v>
      </c>
      <c r="X2">
        <v>58.6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3</v>
      </c>
      <c r="AG2">
        <v>58.6</v>
      </c>
      <c r="AH2">
        <v>2</v>
      </c>
      <c r="AI2">
        <v>53860210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53861035</v>
      </c>
      <c r="C3">
        <v>53860209</v>
      </c>
      <c r="D3">
        <v>29507683</v>
      </c>
      <c r="E3">
        <v>29506949</v>
      </c>
      <c r="F3">
        <v>1</v>
      </c>
      <c r="G3">
        <v>29506949</v>
      </c>
      <c r="H3">
        <v>2</v>
      </c>
      <c r="I3" t="s">
        <v>641</v>
      </c>
      <c r="J3" t="s">
        <v>3</v>
      </c>
      <c r="K3" t="s">
        <v>642</v>
      </c>
      <c r="L3">
        <v>1344</v>
      </c>
      <c r="N3">
        <v>1008</v>
      </c>
      <c r="O3" t="s">
        <v>643</v>
      </c>
      <c r="P3" t="s">
        <v>643</v>
      </c>
      <c r="Q3">
        <v>1</v>
      </c>
      <c r="X3">
        <v>2.5</v>
      </c>
      <c r="Y3">
        <v>0</v>
      </c>
      <c r="Z3">
        <v>1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2.5</v>
      </c>
      <c r="AH3">
        <v>2</v>
      </c>
      <c r="AI3">
        <v>53860211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ROW(Source!A31)</f>
        <v>31</v>
      </c>
      <c r="B4">
        <v>53861036</v>
      </c>
      <c r="C4">
        <v>53860214</v>
      </c>
      <c r="D4">
        <v>29506954</v>
      </c>
      <c r="E4">
        <v>29506949</v>
      </c>
      <c r="F4">
        <v>1</v>
      </c>
      <c r="G4">
        <v>29506949</v>
      </c>
      <c r="H4">
        <v>1</v>
      </c>
      <c r="I4" t="s">
        <v>638</v>
      </c>
      <c r="J4" t="s">
        <v>3</v>
      </c>
      <c r="K4" t="s">
        <v>639</v>
      </c>
      <c r="L4">
        <v>1191</v>
      </c>
      <c r="N4">
        <v>1013</v>
      </c>
      <c r="O4" t="s">
        <v>640</v>
      </c>
      <c r="P4" t="s">
        <v>640</v>
      </c>
      <c r="Q4">
        <v>1</v>
      </c>
      <c r="X4">
        <v>107.93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36</v>
      </c>
      <c r="AG4">
        <v>86.344000000000008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ROW(Source!A31)</f>
        <v>31</v>
      </c>
      <c r="B5">
        <v>53861037</v>
      </c>
      <c r="C5">
        <v>53860214</v>
      </c>
      <c r="D5">
        <v>29580491</v>
      </c>
      <c r="E5">
        <v>1</v>
      </c>
      <c r="F5">
        <v>1</v>
      </c>
      <c r="G5">
        <v>29506949</v>
      </c>
      <c r="H5">
        <v>2</v>
      </c>
      <c r="I5" t="s">
        <v>650</v>
      </c>
      <c r="J5" t="s">
        <v>651</v>
      </c>
      <c r="K5" t="s">
        <v>652</v>
      </c>
      <c r="L5">
        <v>1368</v>
      </c>
      <c r="N5">
        <v>1011</v>
      </c>
      <c r="O5" t="s">
        <v>647</v>
      </c>
      <c r="P5" t="s">
        <v>647</v>
      </c>
      <c r="Q5">
        <v>1</v>
      </c>
      <c r="X5">
        <v>0.19</v>
      </c>
      <c r="Y5">
        <v>0</v>
      </c>
      <c r="Z5">
        <v>83.1</v>
      </c>
      <c r="AA5">
        <v>12.62</v>
      </c>
      <c r="AB5">
        <v>0</v>
      </c>
      <c r="AC5">
        <v>0</v>
      </c>
      <c r="AD5">
        <v>1</v>
      </c>
      <c r="AE5">
        <v>0</v>
      </c>
      <c r="AF5" t="s">
        <v>36</v>
      </c>
      <c r="AG5">
        <v>0.15200000000000002</v>
      </c>
      <c r="AH5">
        <v>3</v>
      </c>
      <c r="AI5">
        <v>-1</v>
      </c>
      <c r="AJ5" t="s">
        <v>3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ROW(Source!A31)</f>
        <v>31</v>
      </c>
      <c r="B6">
        <v>53861039</v>
      </c>
      <c r="C6">
        <v>53860214</v>
      </c>
      <c r="D6">
        <v>29580614</v>
      </c>
      <c r="E6">
        <v>1</v>
      </c>
      <c r="F6">
        <v>1</v>
      </c>
      <c r="G6">
        <v>29506949</v>
      </c>
      <c r="H6">
        <v>2</v>
      </c>
      <c r="I6" t="s">
        <v>682</v>
      </c>
      <c r="J6" t="s">
        <v>683</v>
      </c>
      <c r="K6" t="s">
        <v>684</v>
      </c>
      <c r="L6">
        <v>1368</v>
      </c>
      <c r="N6">
        <v>1011</v>
      </c>
      <c r="O6" t="s">
        <v>647</v>
      </c>
      <c r="P6" t="s">
        <v>647</v>
      </c>
      <c r="Q6">
        <v>1</v>
      </c>
      <c r="X6">
        <v>1.3</v>
      </c>
      <c r="Y6">
        <v>0</v>
      </c>
      <c r="Z6">
        <v>1.1100000000000001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36</v>
      </c>
      <c r="AG6">
        <v>1.04</v>
      </c>
      <c r="AH6">
        <v>3</v>
      </c>
      <c r="AI6">
        <v>-1</v>
      </c>
      <c r="AJ6" t="s">
        <v>3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ROW(Source!A31)</f>
        <v>31</v>
      </c>
      <c r="B7">
        <v>53861040</v>
      </c>
      <c r="C7">
        <v>53860214</v>
      </c>
      <c r="D7">
        <v>29580549</v>
      </c>
      <c r="E7">
        <v>1</v>
      </c>
      <c r="F7">
        <v>1</v>
      </c>
      <c r="G7">
        <v>29506949</v>
      </c>
      <c r="H7">
        <v>2</v>
      </c>
      <c r="I7" t="s">
        <v>685</v>
      </c>
      <c r="J7" t="s">
        <v>686</v>
      </c>
      <c r="K7" t="s">
        <v>687</v>
      </c>
      <c r="L7">
        <v>1368</v>
      </c>
      <c r="N7">
        <v>1011</v>
      </c>
      <c r="O7" t="s">
        <v>647</v>
      </c>
      <c r="P7" t="s">
        <v>647</v>
      </c>
      <c r="Q7">
        <v>1</v>
      </c>
      <c r="X7">
        <v>0.32</v>
      </c>
      <c r="Y7">
        <v>0</v>
      </c>
      <c r="Z7">
        <v>0.39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36</v>
      </c>
      <c r="AG7">
        <v>0.25600000000000001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ROW(Source!A31)</f>
        <v>31</v>
      </c>
      <c r="B8">
        <v>53861041</v>
      </c>
      <c r="C8">
        <v>53860214</v>
      </c>
      <c r="D8">
        <v>29580571</v>
      </c>
      <c r="E8">
        <v>1</v>
      </c>
      <c r="F8">
        <v>1</v>
      </c>
      <c r="G8">
        <v>29506949</v>
      </c>
      <c r="H8">
        <v>2</v>
      </c>
      <c r="I8" t="s">
        <v>644</v>
      </c>
      <c r="J8" t="s">
        <v>645</v>
      </c>
      <c r="K8" t="s">
        <v>646</v>
      </c>
      <c r="L8">
        <v>1368</v>
      </c>
      <c r="N8">
        <v>1011</v>
      </c>
      <c r="O8" t="s">
        <v>647</v>
      </c>
      <c r="P8" t="s">
        <v>647</v>
      </c>
      <c r="Q8">
        <v>1</v>
      </c>
      <c r="X8">
        <v>2.2000000000000002</v>
      </c>
      <c r="Y8">
        <v>0</v>
      </c>
      <c r="Z8">
        <v>0.47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36</v>
      </c>
      <c r="AG8">
        <v>1.7600000000000002</v>
      </c>
      <c r="AH8">
        <v>3</v>
      </c>
      <c r="AI8">
        <v>-1</v>
      </c>
      <c r="AJ8" t="s">
        <v>3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ROW(Source!A31)</f>
        <v>31</v>
      </c>
      <c r="B9">
        <v>53861038</v>
      </c>
      <c r="C9">
        <v>53860214</v>
      </c>
      <c r="D9">
        <v>29579738</v>
      </c>
      <c r="E9">
        <v>1</v>
      </c>
      <c r="F9">
        <v>1</v>
      </c>
      <c r="G9">
        <v>29506949</v>
      </c>
      <c r="H9">
        <v>2</v>
      </c>
      <c r="I9" t="s">
        <v>665</v>
      </c>
      <c r="J9" t="s">
        <v>666</v>
      </c>
      <c r="K9" t="s">
        <v>667</v>
      </c>
      <c r="L9">
        <v>1368</v>
      </c>
      <c r="N9">
        <v>1011</v>
      </c>
      <c r="O9" t="s">
        <v>647</v>
      </c>
      <c r="P9" t="s">
        <v>647</v>
      </c>
      <c r="Q9">
        <v>1</v>
      </c>
      <c r="X9">
        <v>0.19</v>
      </c>
      <c r="Y9">
        <v>0</v>
      </c>
      <c r="Z9">
        <v>179.17</v>
      </c>
      <c r="AA9">
        <v>16.93</v>
      </c>
      <c r="AB9">
        <v>0</v>
      </c>
      <c r="AC9">
        <v>0</v>
      </c>
      <c r="AD9">
        <v>1</v>
      </c>
      <c r="AE9">
        <v>0</v>
      </c>
      <c r="AF9" t="s">
        <v>36</v>
      </c>
      <c r="AG9">
        <v>0.15200000000000002</v>
      </c>
      <c r="AH9">
        <v>3</v>
      </c>
      <c r="AI9">
        <v>-1</v>
      </c>
      <c r="AJ9" t="s">
        <v>3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ROW(Source!A31)</f>
        <v>31</v>
      </c>
      <c r="B10">
        <v>53861042</v>
      </c>
      <c r="C10">
        <v>53860214</v>
      </c>
      <c r="D10">
        <v>29558471</v>
      </c>
      <c r="E10">
        <v>1</v>
      </c>
      <c r="F10">
        <v>1</v>
      </c>
      <c r="G10">
        <v>29506949</v>
      </c>
      <c r="H10">
        <v>3</v>
      </c>
      <c r="I10" t="s">
        <v>688</v>
      </c>
      <c r="J10" t="s">
        <v>689</v>
      </c>
      <c r="K10" t="s">
        <v>690</v>
      </c>
      <c r="L10">
        <v>1355</v>
      </c>
      <c r="N10">
        <v>1010</v>
      </c>
      <c r="O10" t="s">
        <v>129</v>
      </c>
      <c r="P10" t="s">
        <v>129</v>
      </c>
      <c r="Q10">
        <v>100</v>
      </c>
      <c r="X10">
        <v>0.81</v>
      </c>
      <c r="Y10">
        <v>94.94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35</v>
      </c>
      <c r="AG10">
        <v>0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ROW(Source!A31)</f>
        <v>31</v>
      </c>
      <c r="B11">
        <v>53861043</v>
      </c>
      <c r="C11">
        <v>53860214</v>
      </c>
      <c r="D11">
        <v>29558629</v>
      </c>
      <c r="E11">
        <v>1</v>
      </c>
      <c r="F11">
        <v>1</v>
      </c>
      <c r="G11">
        <v>29506949</v>
      </c>
      <c r="H11">
        <v>3</v>
      </c>
      <c r="I11" t="s">
        <v>602</v>
      </c>
      <c r="J11" t="s">
        <v>604</v>
      </c>
      <c r="K11" t="s">
        <v>603</v>
      </c>
      <c r="L11">
        <v>1296</v>
      </c>
      <c r="N11">
        <v>1002</v>
      </c>
      <c r="O11" t="s">
        <v>154</v>
      </c>
      <c r="P11" t="s">
        <v>154</v>
      </c>
      <c r="Q11">
        <v>1</v>
      </c>
      <c r="X11">
        <v>10</v>
      </c>
      <c r="Y11">
        <v>40.17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35</v>
      </c>
      <c r="AG11">
        <v>0</v>
      </c>
      <c r="AH11">
        <v>3</v>
      </c>
      <c r="AI11">
        <v>-1</v>
      </c>
      <c r="AJ11" t="s">
        <v>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ROW(Source!A31)</f>
        <v>31</v>
      </c>
      <c r="B12">
        <v>53861044</v>
      </c>
      <c r="C12">
        <v>53860214</v>
      </c>
      <c r="D12">
        <v>29558791</v>
      </c>
      <c r="E12">
        <v>1</v>
      </c>
      <c r="F12">
        <v>1</v>
      </c>
      <c r="G12">
        <v>29506949</v>
      </c>
      <c r="H12">
        <v>3</v>
      </c>
      <c r="I12" t="s">
        <v>691</v>
      </c>
      <c r="J12" t="s">
        <v>692</v>
      </c>
      <c r="K12" t="s">
        <v>693</v>
      </c>
      <c r="L12">
        <v>1301</v>
      </c>
      <c r="N12">
        <v>1003</v>
      </c>
      <c r="O12" t="s">
        <v>125</v>
      </c>
      <c r="P12" t="s">
        <v>125</v>
      </c>
      <c r="Q12">
        <v>1</v>
      </c>
      <c r="X12">
        <v>68</v>
      </c>
      <c r="Y12">
        <v>0.89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35</v>
      </c>
      <c r="AG12">
        <v>0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ROW(Source!A31)</f>
        <v>31</v>
      </c>
      <c r="B13">
        <v>53861045</v>
      </c>
      <c r="C13">
        <v>53860214</v>
      </c>
      <c r="D13">
        <v>29558792</v>
      </c>
      <c r="E13">
        <v>1</v>
      </c>
      <c r="F13">
        <v>1</v>
      </c>
      <c r="G13">
        <v>29506949</v>
      </c>
      <c r="H13">
        <v>3</v>
      </c>
      <c r="I13" t="s">
        <v>694</v>
      </c>
      <c r="J13" t="s">
        <v>695</v>
      </c>
      <c r="K13" t="s">
        <v>696</v>
      </c>
      <c r="L13">
        <v>1301</v>
      </c>
      <c r="N13">
        <v>1003</v>
      </c>
      <c r="O13" t="s">
        <v>125</v>
      </c>
      <c r="P13" t="s">
        <v>125</v>
      </c>
      <c r="Q13">
        <v>1</v>
      </c>
      <c r="X13">
        <v>135</v>
      </c>
      <c r="Y13">
        <v>1.62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35</v>
      </c>
      <c r="AG13">
        <v>0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ROW(Source!A31)</f>
        <v>31</v>
      </c>
      <c r="B14">
        <v>53861046</v>
      </c>
      <c r="C14">
        <v>53860214</v>
      </c>
      <c r="D14">
        <v>29558796</v>
      </c>
      <c r="E14">
        <v>1</v>
      </c>
      <c r="F14">
        <v>1</v>
      </c>
      <c r="G14">
        <v>29506949</v>
      </c>
      <c r="H14">
        <v>3</v>
      </c>
      <c r="I14" t="s">
        <v>697</v>
      </c>
      <c r="J14" t="s">
        <v>698</v>
      </c>
      <c r="K14" t="s">
        <v>699</v>
      </c>
      <c r="L14">
        <v>1355</v>
      </c>
      <c r="N14">
        <v>1010</v>
      </c>
      <c r="O14" t="s">
        <v>129</v>
      </c>
      <c r="P14" t="s">
        <v>129</v>
      </c>
      <c r="Q14">
        <v>100</v>
      </c>
      <c r="X14">
        <v>3.68</v>
      </c>
      <c r="Y14">
        <v>4.93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35</v>
      </c>
      <c r="AG14">
        <v>0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ROW(Source!A31)</f>
        <v>31</v>
      </c>
      <c r="B15">
        <v>53861047</v>
      </c>
      <c r="C15">
        <v>53860214</v>
      </c>
      <c r="D15">
        <v>29558797</v>
      </c>
      <c r="E15">
        <v>1</v>
      </c>
      <c r="F15">
        <v>1</v>
      </c>
      <c r="G15">
        <v>29506949</v>
      </c>
      <c r="H15">
        <v>3</v>
      </c>
      <c r="I15" t="s">
        <v>700</v>
      </c>
      <c r="J15" t="s">
        <v>701</v>
      </c>
      <c r="K15" t="s">
        <v>702</v>
      </c>
      <c r="L15">
        <v>1355</v>
      </c>
      <c r="N15">
        <v>1010</v>
      </c>
      <c r="O15" t="s">
        <v>129</v>
      </c>
      <c r="P15" t="s">
        <v>129</v>
      </c>
      <c r="Q15">
        <v>100</v>
      </c>
      <c r="X15">
        <v>22.21</v>
      </c>
      <c r="Y15">
        <v>4.2699999999999996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35</v>
      </c>
      <c r="AG15">
        <v>0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ROW(Source!A31)</f>
        <v>31</v>
      </c>
      <c r="B16">
        <v>53861048</v>
      </c>
      <c r="C16">
        <v>53860214</v>
      </c>
      <c r="D16">
        <v>29558800</v>
      </c>
      <c r="E16">
        <v>1</v>
      </c>
      <c r="F16">
        <v>1</v>
      </c>
      <c r="G16">
        <v>29506949</v>
      </c>
      <c r="H16">
        <v>3</v>
      </c>
      <c r="I16" t="s">
        <v>703</v>
      </c>
      <c r="J16" t="s">
        <v>704</v>
      </c>
      <c r="K16" t="s">
        <v>705</v>
      </c>
      <c r="L16">
        <v>1355</v>
      </c>
      <c r="N16">
        <v>1010</v>
      </c>
      <c r="O16" t="s">
        <v>129</v>
      </c>
      <c r="P16" t="s">
        <v>129</v>
      </c>
      <c r="Q16">
        <v>100</v>
      </c>
      <c r="X16">
        <v>3.22</v>
      </c>
      <c r="Y16">
        <v>43.81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35</v>
      </c>
      <c r="AG16">
        <v>0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ROW(Source!A31)</f>
        <v>31</v>
      </c>
      <c r="B17">
        <v>53861049</v>
      </c>
      <c r="C17">
        <v>53860214</v>
      </c>
      <c r="D17">
        <v>29574265</v>
      </c>
      <c r="E17">
        <v>1</v>
      </c>
      <c r="F17">
        <v>1</v>
      </c>
      <c r="G17">
        <v>29506949</v>
      </c>
      <c r="H17">
        <v>3</v>
      </c>
      <c r="I17" t="s">
        <v>706</v>
      </c>
      <c r="J17" t="s">
        <v>707</v>
      </c>
      <c r="K17" t="s">
        <v>708</v>
      </c>
      <c r="L17">
        <v>1346</v>
      </c>
      <c r="N17">
        <v>1009</v>
      </c>
      <c r="O17" t="s">
        <v>58</v>
      </c>
      <c r="P17" t="s">
        <v>58</v>
      </c>
      <c r="Q17">
        <v>1</v>
      </c>
      <c r="X17">
        <v>4</v>
      </c>
      <c r="Y17">
        <v>14.88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35</v>
      </c>
      <c r="AG17">
        <v>0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ROW(Source!A31)</f>
        <v>31</v>
      </c>
      <c r="B18">
        <v>53861050</v>
      </c>
      <c r="C18">
        <v>53860214</v>
      </c>
      <c r="D18">
        <v>29574151</v>
      </c>
      <c r="E18">
        <v>1</v>
      </c>
      <c r="F18">
        <v>1</v>
      </c>
      <c r="G18">
        <v>29506949</v>
      </c>
      <c r="H18">
        <v>3</v>
      </c>
      <c r="I18" t="s">
        <v>709</v>
      </c>
      <c r="J18" t="s">
        <v>710</v>
      </c>
      <c r="K18" t="s">
        <v>711</v>
      </c>
      <c r="L18">
        <v>1346</v>
      </c>
      <c r="N18">
        <v>1009</v>
      </c>
      <c r="O18" t="s">
        <v>58</v>
      </c>
      <c r="P18" t="s">
        <v>58</v>
      </c>
      <c r="Q18">
        <v>1</v>
      </c>
      <c r="X18">
        <v>42</v>
      </c>
      <c r="Y18">
        <v>5.19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35</v>
      </c>
      <c r="AG18">
        <v>0</v>
      </c>
      <c r="AH18">
        <v>3</v>
      </c>
      <c r="AI18">
        <v>-1</v>
      </c>
      <c r="AJ18" t="s">
        <v>3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ROW(Source!A31)</f>
        <v>31</v>
      </c>
      <c r="B19">
        <v>53861051</v>
      </c>
      <c r="C19">
        <v>53860214</v>
      </c>
      <c r="D19">
        <v>29577896</v>
      </c>
      <c r="E19">
        <v>1</v>
      </c>
      <c r="F19">
        <v>1</v>
      </c>
      <c r="G19">
        <v>29506949</v>
      </c>
      <c r="H19">
        <v>3</v>
      </c>
      <c r="I19" t="s">
        <v>712</v>
      </c>
      <c r="J19" t="s">
        <v>713</v>
      </c>
      <c r="K19" t="s">
        <v>714</v>
      </c>
      <c r="L19">
        <v>1301</v>
      </c>
      <c r="N19">
        <v>1003</v>
      </c>
      <c r="O19" t="s">
        <v>125</v>
      </c>
      <c r="P19" t="s">
        <v>125</v>
      </c>
      <c r="Q19">
        <v>1</v>
      </c>
      <c r="X19">
        <v>136</v>
      </c>
      <c r="Y19">
        <v>14.41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35</v>
      </c>
      <c r="AG19">
        <v>0</v>
      </c>
      <c r="AH19">
        <v>3</v>
      </c>
      <c r="AI19">
        <v>-1</v>
      </c>
      <c r="AJ19" t="s">
        <v>3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ROW(Source!A31)</f>
        <v>31</v>
      </c>
      <c r="B20">
        <v>53861052</v>
      </c>
      <c r="C20">
        <v>53860214</v>
      </c>
      <c r="D20">
        <v>29577900</v>
      </c>
      <c r="E20">
        <v>1</v>
      </c>
      <c r="F20">
        <v>1</v>
      </c>
      <c r="G20">
        <v>29506949</v>
      </c>
      <c r="H20">
        <v>3</v>
      </c>
      <c r="I20" t="s">
        <v>715</v>
      </c>
      <c r="J20" t="s">
        <v>716</v>
      </c>
      <c r="K20" t="s">
        <v>717</v>
      </c>
      <c r="L20">
        <v>1301</v>
      </c>
      <c r="N20">
        <v>1003</v>
      </c>
      <c r="O20" t="s">
        <v>125</v>
      </c>
      <c r="P20" t="s">
        <v>125</v>
      </c>
      <c r="Q20">
        <v>1</v>
      </c>
      <c r="X20">
        <v>306</v>
      </c>
      <c r="Y20">
        <v>14.61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35</v>
      </c>
      <c r="AG20">
        <v>0</v>
      </c>
      <c r="AH20">
        <v>3</v>
      </c>
      <c r="AI20">
        <v>-1</v>
      </c>
      <c r="AJ20" t="s">
        <v>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ROW(Source!A31)</f>
        <v>31</v>
      </c>
      <c r="B21">
        <v>53861053</v>
      </c>
      <c r="C21">
        <v>53860214</v>
      </c>
      <c r="D21">
        <v>29577905</v>
      </c>
      <c r="E21">
        <v>1</v>
      </c>
      <c r="F21">
        <v>1</v>
      </c>
      <c r="G21">
        <v>29506949</v>
      </c>
      <c r="H21">
        <v>3</v>
      </c>
      <c r="I21" t="s">
        <v>718</v>
      </c>
      <c r="J21" t="s">
        <v>719</v>
      </c>
      <c r="K21" t="s">
        <v>720</v>
      </c>
      <c r="L21">
        <v>1355</v>
      </c>
      <c r="N21">
        <v>1010</v>
      </c>
      <c r="O21" t="s">
        <v>129</v>
      </c>
      <c r="P21" t="s">
        <v>129</v>
      </c>
      <c r="Q21">
        <v>100</v>
      </c>
      <c r="X21">
        <v>0.81</v>
      </c>
      <c r="Y21">
        <v>235.26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35</v>
      </c>
      <c r="AG21">
        <v>0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ROW(Source!A31)</f>
        <v>31</v>
      </c>
      <c r="B22">
        <v>53861054</v>
      </c>
      <c r="C22">
        <v>53860214</v>
      </c>
      <c r="D22">
        <v>29577906</v>
      </c>
      <c r="E22">
        <v>1</v>
      </c>
      <c r="F22">
        <v>1</v>
      </c>
      <c r="G22">
        <v>29506949</v>
      </c>
      <c r="H22">
        <v>3</v>
      </c>
      <c r="I22" t="s">
        <v>721</v>
      </c>
      <c r="J22" t="s">
        <v>722</v>
      </c>
      <c r="K22" t="s">
        <v>723</v>
      </c>
      <c r="L22">
        <v>1355</v>
      </c>
      <c r="N22">
        <v>1010</v>
      </c>
      <c r="O22" t="s">
        <v>129</v>
      </c>
      <c r="P22" t="s">
        <v>129</v>
      </c>
      <c r="Q22">
        <v>100</v>
      </c>
      <c r="X22">
        <v>1.83</v>
      </c>
      <c r="Y22">
        <v>318.01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35</v>
      </c>
      <c r="AG22">
        <v>0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ROW(Source!A31)</f>
        <v>31</v>
      </c>
      <c r="B23">
        <v>53861055</v>
      </c>
      <c r="C23">
        <v>53860214</v>
      </c>
      <c r="D23">
        <v>29577916</v>
      </c>
      <c r="E23">
        <v>1</v>
      </c>
      <c r="F23">
        <v>1</v>
      </c>
      <c r="G23">
        <v>29506949</v>
      </c>
      <c r="H23">
        <v>3</v>
      </c>
      <c r="I23" t="s">
        <v>724</v>
      </c>
      <c r="J23" t="s">
        <v>725</v>
      </c>
      <c r="K23" t="s">
        <v>726</v>
      </c>
      <c r="L23">
        <v>1355</v>
      </c>
      <c r="N23">
        <v>1010</v>
      </c>
      <c r="O23" t="s">
        <v>129</v>
      </c>
      <c r="P23" t="s">
        <v>129</v>
      </c>
      <c r="Q23">
        <v>100</v>
      </c>
      <c r="X23">
        <v>0.81</v>
      </c>
      <c r="Y23">
        <v>114.54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35</v>
      </c>
      <c r="AG23">
        <v>0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ROW(Source!A31)</f>
        <v>31</v>
      </c>
      <c r="B24">
        <v>53861056</v>
      </c>
      <c r="C24">
        <v>53860214</v>
      </c>
      <c r="D24">
        <v>29521994</v>
      </c>
      <c r="E24">
        <v>29506949</v>
      </c>
      <c r="F24">
        <v>1</v>
      </c>
      <c r="G24">
        <v>29506949</v>
      </c>
      <c r="H24">
        <v>3</v>
      </c>
      <c r="I24" t="s">
        <v>844</v>
      </c>
      <c r="J24" t="s">
        <v>3</v>
      </c>
      <c r="K24" t="s">
        <v>845</v>
      </c>
      <c r="L24">
        <v>1301</v>
      </c>
      <c r="N24">
        <v>1003</v>
      </c>
      <c r="O24" t="s">
        <v>125</v>
      </c>
      <c r="P24" t="s">
        <v>125</v>
      </c>
      <c r="Q24">
        <v>1</v>
      </c>
      <c r="X24">
        <v>135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 t="s">
        <v>35</v>
      </c>
      <c r="AG24">
        <v>0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ROW(Source!A31)</f>
        <v>31</v>
      </c>
      <c r="B25">
        <v>53861057</v>
      </c>
      <c r="C25">
        <v>53860214</v>
      </c>
      <c r="D25">
        <v>29521998</v>
      </c>
      <c r="E25">
        <v>29506949</v>
      </c>
      <c r="F25">
        <v>1</v>
      </c>
      <c r="G25">
        <v>29506949</v>
      </c>
      <c r="H25">
        <v>3</v>
      </c>
      <c r="I25" t="s">
        <v>846</v>
      </c>
      <c r="J25" t="s">
        <v>3</v>
      </c>
      <c r="K25" t="s">
        <v>847</v>
      </c>
      <c r="L25">
        <v>1354</v>
      </c>
      <c r="N25">
        <v>1010</v>
      </c>
      <c r="O25" t="s">
        <v>536</v>
      </c>
      <c r="P25" t="s">
        <v>536</v>
      </c>
      <c r="Q25">
        <v>1</v>
      </c>
      <c r="X25">
        <v>81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 t="s">
        <v>35</v>
      </c>
      <c r="AG25">
        <v>0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ROW(Source!A31)</f>
        <v>31</v>
      </c>
      <c r="B26">
        <v>53861058</v>
      </c>
      <c r="C26">
        <v>53860214</v>
      </c>
      <c r="D26">
        <v>29520023</v>
      </c>
      <c r="E26">
        <v>29506949</v>
      </c>
      <c r="F26">
        <v>1</v>
      </c>
      <c r="G26">
        <v>29506949</v>
      </c>
      <c r="H26">
        <v>3</v>
      </c>
      <c r="I26" t="s">
        <v>848</v>
      </c>
      <c r="J26" t="s">
        <v>3</v>
      </c>
      <c r="K26" t="s">
        <v>849</v>
      </c>
      <c r="L26">
        <v>1327</v>
      </c>
      <c r="N26">
        <v>1005</v>
      </c>
      <c r="O26" t="s">
        <v>100</v>
      </c>
      <c r="P26" t="s">
        <v>100</v>
      </c>
      <c r="Q26">
        <v>1</v>
      </c>
      <c r="X26">
        <v>111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35</v>
      </c>
      <c r="AG26">
        <v>0</v>
      </c>
      <c r="AH26">
        <v>3</v>
      </c>
      <c r="AI26">
        <v>-1</v>
      </c>
      <c r="AJ26" t="s">
        <v>3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ROW(Source!A32)</f>
        <v>32</v>
      </c>
      <c r="B27">
        <v>53861059</v>
      </c>
      <c r="C27">
        <v>53860215</v>
      </c>
      <c r="D27">
        <v>29506954</v>
      </c>
      <c r="E27">
        <v>29506949</v>
      </c>
      <c r="F27">
        <v>1</v>
      </c>
      <c r="G27">
        <v>29506949</v>
      </c>
      <c r="H27">
        <v>1</v>
      </c>
      <c r="I27" t="s">
        <v>638</v>
      </c>
      <c r="J27" t="s">
        <v>3</v>
      </c>
      <c r="K27" t="s">
        <v>639</v>
      </c>
      <c r="L27">
        <v>1191</v>
      </c>
      <c r="N27">
        <v>1013</v>
      </c>
      <c r="O27" t="s">
        <v>640</v>
      </c>
      <c r="P27" t="s">
        <v>640</v>
      </c>
      <c r="Q27">
        <v>1</v>
      </c>
      <c r="X27">
        <v>40.06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3</v>
      </c>
      <c r="AG27">
        <v>40.06</v>
      </c>
      <c r="AH27">
        <v>2</v>
      </c>
      <c r="AI27">
        <v>53860216</v>
      </c>
      <c r="AJ27">
        <v>4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ROW(Source!A32)</f>
        <v>32</v>
      </c>
      <c r="B28">
        <v>53861060</v>
      </c>
      <c r="C28">
        <v>53860215</v>
      </c>
      <c r="D28">
        <v>29580571</v>
      </c>
      <c r="E28">
        <v>1</v>
      </c>
      <c r="F28">
        <v>1</v>
      </c>
      <c r="G28">
        <v>29506949</v>
      </c>
      <c r="H28">
        <v>2</v>
      </c>
      <c r="I28" t="s">
        <v>644</v>
      </c>
      <c r="J28" t="s">
        <v>645</v>
      </c>
      <c r="K28" t="s">
        <v>646</v>
      </c>
      <c r="L28">
        <v>1368</v>
      </c>
      <c r="N28">
        <v>1011</v>
      </c>
      <c r="O28" t="s">
        <v>647</v>
      </c>
      <c r="P28" t="s">
        <v>647</v>
      </c>
      <c r="Q28">
        <v>1</v>
      </c>
      <c r="X28">
        <v>8.19</v>
      </c>
      <c r="Y28">
        <v>0</v>
      </c>
      <c r="Z28">
        <v>0.47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8.19</v>
      </c>
      <c r="AH28">
        <v>2</v>
      </c>
      <c r="AI28">
        <v>53860217</v>
      </c>
      <c r="AJ28">
        <v>5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ROW(Source!A32)</f>
        <v>32</v>
      </c>
      <c r="B29">
        <v>53861061</v>
      </c>
      <c r="C29">
        <v>53860215</v>
      </c>
      <c r="D29">
        <v>29529074</v>
      </c>
      <c r="E29">
        <v>29506949</v>
      </c>
      <c r="F29">
        <v>1</v>
      </c>
      <c r="G29">
        <v>29506949</v>
      </c>
      <c r="H29">
        <v>3</v>
      </c>
      <c r="I29" t="s">
        <v>648</v>
      </c>
      <c r="J29" t="s">
        <v>3</v>
      </c>
      <c r="K29" t="s">
        <v>649</v>
      </c>
      <c r="L29">
        <v>1348</v>
      </c>
      <c r="N29">
        <v>1009</v>
      </c>
      <c r="O29" t="s">
        <v>75</v>
      </c>
      <c r="P29" t="s">
        <v>75</v>
      </c>
      <c r="Q29">
        <v>1000</v>
      </c>
      <c r="X29">
        <v>0.3947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0.3947</v>
      </c>
      <c r="AH29">
        <v>2</v>
      </c>
      <c r="AI29">
        <v>53860218</v>
      </c>
      <c r="AJ29">
        <v>6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ROW(Source!A34)</f>
        <v>34</v>
      </c>
      <c r="B30">
        <v>53861062</v>
      </c>
      <c r="C30">
        <v>53860223</v>
      </c>
      <c r="D30">
        <v>29506954</v>
      </c>
      <c r="E30">
        <v>29506949</v>
      </c>
      <c r="F30">
        <v>1</v>
      </c>
      <c r="G30">
        <v>29506949</v>
      </c>
      <c r="H30">
        <v>1</v>
      </c>
      <c r="I30" t="s">
        <v>638</v>
      </c>
      <c r="J30" t="s">
        <v>3</v>
      </c>
      <c r="K30" t="s">
        <v>639</v>
      </c>
      <c r="L30">
        <v>1191</v>
      </c>
      <c r="N30">
        <v>1013</v>
      </c>
      <c r="O30" t="s">
        <v>640</v>
      </c>
      <c r="P30" t="s">
        <v>640</v>
      </c>
      <c r="Q30">
        <v>1</v>
      </c>
      <c r="X30">
        <v>5.68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52</v>
      </c>
      <c r="AG30">
        <v>6.5319999999999991</v>
      </c>
      <c r="AH30">
        <v>2</v>
      </c>
      <c r="AI30">
        <v>53860224</v>
      </c>
      <c r="AJ30">
        <v>7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ROW(Source!A34)</f>
        <v>34</v>
      </c>
      <c r="B31">
        <v>53861063</v>
      </c>
      <c r="C31">
        <v>53860223</v>
      </c>
      <c r="D31">
        <v>29580491</v>
      </c>
      <c r="E31">
        <v>1</v>
      </c>
      <c r="F31">
        <v>1</v>
      </c>
      <c r="G31">
        <v>29506949</v>
      </c>
      <c r="H31">
        <v>2</v>
      </c>
      <c r="I31" t="s">
        <v>650</v>
      </c>
      <c r="J31" t="s">
        <v>651</v>
      </c>
      <c r="K31" t="s">
        <v>652</v>
      </c>
      <c r="L31">
        <v>1368</v>
      </c>
      <c r="N31">
        <v>1011</v>
      </c>
      <c r="O31" t="s">
        <v>647</v>
      </c>
      <c r="P31" t="s">
        <v>647</v>
      </c>
      <c r="Q31">
        <v>1</v>
      </c>
      <c r="X31">
        <v>0.01</v>
      </c>
      <c r="Y31">
        <v>0</v>
      </c>
      <c r="Z31">
        <v>83.1</v>
      </c>
      <c r="AA31">
        <v>12.62</v>
      </c>
      <c r="AB31">
        <v>0</v>
      </c>
      <c r="AC31">
        <v>0</v>
      </c>
      <c r="AD31">
        <v>1</v>
      </c>
      <c r="AE31">
        <v>0</v>
      </c>
      <c r="AF31" t="s">
        <v>51</v>
      </c>
      <c r="AG31">
        <v>1.2500000000000001E-2</v>
      </c>
      <c r="AH31">
        <v>2</v>
      </c>
      <c r="AI31">
        <v>53860225</v>
      </c>
      <c r="AJ31">
        <v>8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ROW(Source!A34)</f>
        <v>34</v>
      </c>
      <c r="B32">
        <v>53861064</v>
      </c>
      <c r="C32">
        <v>53860223</v>
      </c>
      <c r="D32">
        <v>29580030</v>
      </c>
      <c r="E32">
        <v>1</v>
      </c>
      <c r="F32">
        <v>1</v>
      </c>
      <c r="G32">
        <v>29506949</v>
      </c>
      <c r="H32">
        <v>2</v>
      </c>
      <c r="I32" t="s">
        <v>653</v>
      </c>
      <c r="J32" t="s">
        <v>654</v>
      </c>
      <c r="K32" t="s">
        <v>655</v>
      </c>
      <c r="L32">
        <v>1368</v>
      </c>
      <c r="N32">
        <v>1011</v>
      </c>
      <c r="O32" t="s">
        <v>647</v>
      </c>
      <c r="P32" t="s">
        <v>647</v>
      </c>
      <c r="Q32">
        <v>1</v>
      </c>
      <c r="X32">
        <v>0.03</v>
      </c>
      <c r="Y32">
        <v>0</v>
      </c>
      <c r="Z32">
        <v>0.17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51</v>
      </c>
      <c r="AG32">
        <v>3.7499999999999999E-2</v>
      </c>
      <c r="AH32">
        <v>2</v>
      </c>
      <c r="AI32">
        <v>53860226</v>
      </c>
      <c r="AJ32">
        <v>9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ROW(Source!A34)</f>
        <v>34</v>
      </c>
      <c r="B33">
        <v>53861065</v>
      </c>
      <c r="C33">
        <v>53860223</v>
      </c>
      <c r="D33">
        <v>29522565</v>
      </c>
      <c r="E33">
        <v>29506949</v>
      </c>
      <c r="F33">
        <v>1</v>
      </c>
      <c r="G33">
        <v>29506949</v>
      </c>
      <c r="H33">
        <v>3</v>
      </c>
      <c r="I33" t="s">
        <v>850</v>
      </c>
      <c r="J33" t="s">
        <v>3</v>
      </c>
      <c r="K33" t="s">
        <v>851</v>
      </c>
      <c r="L33">
        <v>1346</v>
      </c>
      <c r="N33">
        <v>1009</v>
      </c>
      <c r="O33" t="s">
        <v>58</v>
      </c>
      <c r="P33" t="s">
        <v>58</v>
      </c>
      <c r="Q33">
        <v>1</v>
      </c>
      <c r="X33">
        <v>10.3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 t="s">
        <v>3</v>
      </c>
      <c r="AG33">
        <v>10.3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ROW(Source!A36)</f>
        <v>36</v>
      </c>
      <c r="B34">
        <v>53861066</v>
      </c>
      <c r="C34">
        <v>53860233</v>
      </c>
      <c r="D34">
        <v>29506954</v>
      </c>
      <c r="E34">
        <v>29506949</v>
      </c>
      <c r="F34">
        <v>1</v>
      </c>
      <c r="G34">
        <v>29506949</v>
      </c>
      <c r="H34">
        <v>1</v>
      </c>
      <c r="I34" t="s">
        <v>638</v>
      </c>
      <c r="J34" t="s">
        <v>3</v>
      </c>
      <c r="K34" t="s">
        <v>639</v>
      </c>
      <c r="L34">
        <v>1191</v>
      </c>
      <c r="N34">
        <v>1013</v>
      </c>
      <c r="O34" t="s">
        <v>640</v>
      </c>
      <c r="P34" t="s">
        <v>640</v>
      </c>
      <c r="Q34">
        <v>1</v>
      </c>
      <c r="X34">
        <v>45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52</v>
      </c>
      <c r="AG34">
        <v>51.749999999999993</v>
      </c>
      <c r="AH34">
        <v>2</v>
      </c>
      <c r="AI34">
        <v>53860234</v>
      </c>
      <c r="AJ34">
        <v>11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ROW(Source!A36)</f>
        <v>36</v>
      </c>
      <c r="B35">
        <v>53861067</v>
      </c>
      <c r="C35">
        <v>53860233</v>
      </c>
      <c r="D35">
        <v>29580491</v>
      </c>
      <c r="E35">
        <v>1</v>
      </c>
      <c r="F35">
        <v>1</v>
      </c>
      <c r="G35">
        <v>29506949</v>
      </c>
      <c r="H35">
        <v>2</v>
      </c>
      <c r="I35" t="s">
        <v>650</v>
      </c>
      <c r="J35" t="s">
        <v>651</v>
      </c>
      <c r="K35" t="s">
        <v>652</v>
      </c>
      <c r="L35">
        <v>1368</v>
      </c>
      <c r="N35">
        <v>1011</v>
      </c>
      <c r="O35" t="s">
        <v>647</v>
      </c>
      <c r="P35" t="s">
        <v>647</v>
      </c>
      <c r="Q35">
        <v>1</v>
      </c>
      <c r="X35">
        <v>0.13</v>
      </c>
      <c r="Y35">
        <v>0</v>
      </c>
      <c r="Z35">
        <v>83.1</v>
      </c>
      <c r="AA35">
        <v>12.62</v>
      </c>
      <c r="AB35">
        <v>0</v>
      </c>
      <c r="AC35">
        <v>0</v>
      </c>
      <c r="AD35">
        <v>1</v>
      </c>
      <c r="AE35">
        <v>0</v>
      </c>
      <c r="AF35" t="s">
        <v>51</v>
      </c>
      <c r="AG35">
        <v>0.16250000000000001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ROW(Source!A36)</f>
        <v>36</v>
      </c>
      <c r="B36">
        <v>53861068</v>
      </c>
      <c r="C36">
        <v>53860233</v>
      </c>
      <c r="D36">
        <v>29579738</v>
      </c>
      <c r="E36">
        <v>1</v>
      </c>
      <c r="F36">
        <v>1</v>
      </c>
      <c r="G36">
        <v>29506949</v>
      </c>
      <c r="H36">
        <v>2</v>
      </c>
      <c r="I36" t="s">
        <v>665</v>
      </c>
      <c r="J36" t="s">
        <v>666</v>
      </c>
      <c r="K36" t="s">
        <v>667</v>
      </c>
      <c r="L36">
        <v>1368</v>
      </c>
      <c r="N36">
        <v>1011</v>
      </c>
      <c r="O36" t="s">
        <v>647</v>
      </c>
      <c r="P36" t="s">
        <v>647</v>
      </c>
      <c r="Q36">
        <v>1</v>
      </c>
      <c r="X36">
        <v>0.12</v>
      </c>
      <c r="Y36">
        <v>0</v>
      </c>
      <c r="Z36">
        <v>179.17</v>
      </c>
      <c r="AA36">
        <v>16.93</v>
      </c>
      <c r="AB36">
        <v>0</v>
      </c>
      <c r="AC36">
        <v>0</v>
      </c>
      <c r="AD36">
        <v>1</v>
      </c>
      <c r="AE36">
        <v>0</v>
      </c>
      <c r="AF36" t="s">
        <v>51</v>
      </c>
      <c r="AG36">
        <v>0.15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ROW(Source!A36)</f>
        <v>36</v>
      </c>
      <c r="B37">
        <v>53861069</v>
      </c>
      <c r="C37">
        <v>53860233</v>
      </c>
      <c r="D37">
        <v>29580002</v>
      </c>
      <c r="E37">
        <v>1</v>
      </c>
      <c r="F37">
        <v>1</v>
      </c>
      <c r="G37">
        <v>29506949</v>
      </c>
      <c r="H37">
        <v>2</v>
      </c>
      <c r="I37" t="s">
        <v>760</v>
      </c>
      <c r="J37" t="s">
        <v>761</v>
      </c>
      <c r="K37" t="s">
        <v>762</v>
      </c>
      <c r="L37">
        <v>1368</v>
      </c>
      <c r="N37">
        <v>1011</v>
      </c>
      <c r="O37" t="s">
        <v>647</v>
      </c>
      <c r="P37" t="s">
        <v>647</v>
      </c>
      <c r="Q37">
        <v>1</v>
      </c>
      <c r="X37">
        <v>0.47</v>
      </c>
      <c r="Y37">
        <v>0</v>
      </c>
      <c r="Z37">
        <v>13.07</v>
      </c>
      <c r="AA37">
        <v>11.18</v>
      </c>
      <c r="AB37">
        <v>0</v>
      </c>
      <c r="AC37">
        <v>0</v>
      </c>
      <c r="AD37">
        <v>1</v>
      </c>
      <c r="AE37">
        <v>0</v>
      </c>
      <c r="AF37" t="s">
        <v>51</v>
      </c>
      <c r="AG37">
        <v>0.58749999999999991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ROW(Source!A36)</f>
        <v>36</v>
      </c>
      <c r="B38">
        <v>53861070</v>
      </c>
      <c r="C38">
        <v>53860233</v>
      </c>
      <c r="D38">
        <v>29528985</v>
      </c>
      <c r="E38">
        <v>29506949</v>
      </c>
      <c r="F38">
        <v>1</v>
      </c>
      <c r="G38">
        <v>29506949</v>
      </c>
      <c r="H38">
        <v>3</v>
      </c>
      <c r="I38" t="s">
        <v>852</v>
      </c>
      <c r="J38" t="s">
        <v>3</v>
      </c>
      <c r="K38" t="s">
        <v>69</v>
      </c>
      <c r="L38">
        <v>1339</v>
      </c>
      <c r="N38">
        <v>1007</v>
      </c>
      <c r="O38" t="s">
        <v>70</v>
      </c>
      <c r="P38" t="s">
        <v>70</v>
      </c>
      <c r="Q38">
        <v>1</v>
      </c>
      <c r="X38">
        <v>9.8000000000000004E-2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3</v>
      </c>
      <c r="AG38">
        <v>9.8000000000000004E-2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ROW(Source!A36)</f>
        <v>36</v>
      </c>
      <c r="B39">
        <v>53861071</v>
      </c>
      <c r="C39">
        <v>53860233</v>
      </c>
      <c r="D39">
        <v>29523435</v>
      </c>
      <c r="E39">
        <v>29506949</v>
      </c>
      <c r="F39">
        <v>1</v>
      </c>
      <c r="G39">
        <v>29506949</v>
      </c>
      <c r="H39">
        <v>3</v>
      </c>
      <c r="I39" t="s">
        <v>853</v>
      </c>
      <c r="J39" t="s">
        <v>3</v>
      </c>
      <c r="K39" t="s">
        <v>854</v>
      </c>
      <c r="L39">
        <v>1348</v>
      </c>
      <c r="N39">
        <v>1009</v>
      </c>
      <c r="O39" t="s">
        <v>75</v>
      </c>
      <c r="P39" t="s">
        <v>75</v>
      </c>
      <c r="Q39">
        <v>1000</v>
      </c>
      <c r="X39">
        <v>0.56000000000000005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 t="s">
        <v>3</v>
      </c>
      <c r="AG39">
        <v>0.56000000000000005</v>
      </c>
      <c r="AH39">
        <v>3</v>
      </c>
      <c r="AI39">
        <v>-1</v>
      </c>
      <c r="AJ39" t="s">
        <v>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ROW(Source!A36)</f>
        <v>36</v>
      </c>
      <c r="B40">
        <v>53861072</v>
      </c>
      <c r="C40">
        <v>53860233</v>
      </c>
      <c r="D40">
        <v>29523439</v>
      </c>
      <c r="E40">
        <v>29506949</v>
      </c>
      <c r="F40">
        <v>1</v>
      </c>
      <c r="G40">
        <v>29506949</v>
      </c>
      <c r="H40">
        <v>3</v>
      </c>
      <c r="I40" t="s">
        <v>855</v>
      </c>
      <c r="J40" t="s">
        <v>3</v>
      </c>
      <c r="K40" t="s">
        <v>856</v>
      </c>
      <c r="L40">
        <v>1339</v>
      </c>
      <c r="N40">
        <v>1007</v>
      </c>
      <c r="O40" t="s">
        <v>70</v>
      </c>
      <c r="P40" t="s">
        <v>70</v>
      </c>
      <c r="Q40">
        <v>1</v>
      </c>
      <c r="X40">
        <v>0.35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 t="s">
        <v>3</v>
      </c>
      <c r="AG40">
        <v>0.35</v>
      </c>
      <c r="AH40">
        <v>3</v>
      </c>
      <c r="AI40">
        <v>-1</v>
      </c>
      <c r="AJ40" t="s">
        <v>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ROW(Source!A40)</f>
        <v>40</v>
      </c>
      <c r="B41">
        <v>53861073</v>
      </c>
      <c r="C41">
        <v>53860247</v>
      </c>
      <c r="D41">
        <v>29506954</v>
      </c>
      <c r="E41">
        <v>29506949</v>
      </c>
      <c r="F41">
        <v>1</v>
      </c>
      <c r="G41">
        <v>29506949</v>
      </c>
      <c r="H41">
        <v>1</v>
      </c>
      <c r="I41" t="s">
        <v>638</v>
      </c>
      <c r="J41" t="s">
        <v>3</v>
      </c>
      <c r="K41" t="s">
        <v>639</v>
      </c>
      <c r="L41">
        <v>1191</v>
      </c>
      <c r="N41">
        <v>1013</v>
      </c>
      <c r="O41" t="s">
        <v>640</v>
      </c>
      <c r="P41" t="s">
        <v>640</v>
      </c>
      <c r="Q41">
        <v>1</v>
      </c>
      <c r="X41">
        <v>63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52</v>
      </c>
      <c r="AG41">
        <v>72.449999999999989</v>
      </c>
      <c r="AH41">
        <v>2</v>
      </c>
      <c r="AI41">
        <v>53860248</v>
      </c>
      <c r="AJ41">
        <v>16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ROW(Source!A40)</f>
        <v>40</v>
      </c>
      <c r="B42">
        <v>53861074</v>
      </c>
      <c r="C42">
        <v>53860247</v>
      </c>
      <c r="D42">
        <v>29580491</v>
      </c>
      <c r="E42">
        <v>1</v>
      </c>
      <c r="F42">
        <v>1</v>
      </c>
      <c r="G42">
        <v>29506949</v>
      </c>
      <c r="H42">
        <v>2</v>
      </c>
      <c r="I42" t="s">
        <v>650</v>
      </c>
      <c r="J42" t="s">
        <v>651</v>
      </c>
      <c r="K42" t="s">
        <v>652</v>
      </c>
      <c r="L42">
        <v>1368</v>
      </c>
      <c r="N42">
        <v>1011</v>
      </c>
      <c r="O42" t="s">
        <v>647</v>
      </c>
      <c r="P42" t="s">
        <v>647</v>
      </c>
      <c r="Q42">
        <v>1</v>
      </c>
      <c r="X42">
        <v>0.02</v>
      </c>
      <c r="Y42">
        <v>0</v>
      </c>
      <c r="Z42">
        <v>83.1</v>
      </c>
      <c r="AA42">
        <v>12.62</v>
      </c>
      <c r="AB42">
        <v>0</v>
      </c>
      <c r="AC42">
        <v>0</v>
      </c>
      <c r="AD42">
        <v>1</v>
      </c>
      <c r="AE42">
        <v>0</v>
      </c>
      <c r="AF42" t="s">
        <v>51</v>
      </c>
      <c r="AG42">
        <v>2.5000000000000001E-2</v>
      </c>
      <c r="AH42">
        <v>2</v>
      </c>
      <c r="AI42">
        <v>53860249</v>
      </c>
      <c r="AJ42">
        <v>17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ROW(Source!A40)</f>
        <v>40</v>
      </c>
      <c r="B43">
        <v>53861075</v>
      </c>
      <c r="C43">
        <v>53860247</v>
      </c>
      <c r="D43">
        <v>29555595</v>
      </c>
      <c r="E43">
        <v>1</v>
      </c>
      <c r="F43">
        <v>1</v>
      </c>
      <c r="G43">
        <v>29506949</v>
      </c>
      <c r="H43">
        <v>3</v>
      </c>
      <c r="I43" t="s">
        <v>656</v>
      </c>
      <c r="J43" t="s">
        <v>657</v>
      </c>
      <c r="K43" t="s">
        <v>658</v>
      </c>
      <c r="L43">
        <v>1346</v>
      </c>
      <c r="N43">
        <v>1009</v>
      </c>
      <c r="O43" t="s">
        <v>58</v>
      </c>
      <c r="P43" t="s">
        <v>58</v>
      </c>
      <c r="Q43">
        <v>1</v>
      </c>
      <c r="X43">
        <v>0.31</v>
      </c>
      <c r="Y43">
        <v>1.61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0.31</v>
      </c>
      <c r="AH43">
        <v>2</v>
      </c>
      <c r="AI43">
        <v>53860250</v>
      </c>
      <c r="AJ43">
        <v>18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ROW(Source!A40)</f>
        <v>40</v>
      </c>
      <c r="B44">
        <v>53861076</v>
      </c>
      <c r="C44">
        <v>53860247</v>
      </c>
      <c r="D44">
        <v>29556811</v>
      </c>
      <c r="E44">
        <v>1</v>
      </c>
      <c r="F44">
        <v>1</v>
      </c>
      <c r="G44">
        <v>29506949</v>
      </c>
      <c r="H44">
        <v>3</v>
      </c>
      <c r="I44" t="s">
        <v>659</v>
      </c>
      <c r="J44" t="s">
        <v>660</v>
      </c>
      <c r="K44" t="s">
        <v>661</v>
      </c>
      <c r="L44">
        <v>1327</v>
      </c>
      <c r="N44">
        <v>1005</v>
      </c>
      <c r="O44" t="s">
        <v>100</v>
      </c>
      <c r="P44" t="s">
        <v>100</v>
      </c>
      <c r="Q44">
        <v>1</v>
      </c>
      <c r="X44">
        <v>0.84</v>
      </c>
      <c r="Y44">
        <v>104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0.84</v>
      </c>
      <c r="AH44">
        <v>2</v>
      </c>
      <c r="AI44">
        <v>53860251</v>
      </c>
      <c r="AJ44">
        <v>19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ROW(Source!A40)</f>
        <v>40</v>
      </c>
      <c r="B45">
        <v>53861077</v>
      </c>
      <c r="C45">
        <v>53860247</v>
      </c>
      <c r="D45">
        <v>29556824</v>
      </c>
      <c r="E45">
        <v>1</v>
      </c>
      <c r="F45">
        <v>1</v>
      </c>
      <c r="G45">
        <v>29506949</v>
      </c>
      <c r="H45">
        <v>3</v>
      </c>
      <c r="I45" t="s">
        <v>662</v>
      </c>
      <c r="J45" t="s">
        <v>663</v>
      </c>
      <c r="K45" t="s">
        <v>664</v>
      </c>
      <c r="L45">
        <v>1348</v>
      </c>
      <c r="N45">
        <v>1009</v>
      </c>
      <c r="O45" t="s">
        <v>75</v>
      </c>
      <c r="P45" t="s">
        <v>75</v>
      </c>
      <c r="Q45">
        <v>1000</v>
      </c>
      <c r="X45">
        <v>5.5E-2</v>
      </c>
      <c r="Y45">
        <v>13953.6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5.5E-2</v>
      </c>
      <c r="AH45">
        <v>2</v>
      </c>
      <c r="AI45">
        <v>53860252</v>
      </c>
      <c r="AJ45">
        <v>20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ROW(Source!A40)</f>
        <v>40</v>
      </c>
      <c r="B46">
        <v>53861078</v>
      </c>
      <c r="C46">
        <v>53860247</v>
      </c>
      <c r="D46">
        <v>29522565</v>
      </c>
      <c r="E46">
        <v>29506949</v>
      </c>
      <c r="F46">
        <v>1</v>
      </c>
      <c r="G46">
        <v>29506949</v>
      </c>
      <c r="H46">
        <v>3</v>
      </c>
      <c r="I46" t="s">
        <v>850</v>
      </c>
      <c r="J46" t="s">
        <v>3</v>
      </c>
      <c r="K46" t="s">
        <v>851</v>
      </c>
      <c r="L46">
        <v>1346</v>
      </c>
      <c r="N46">
        <v>1009</v>
      </c>
      <c r="O46" t="s">
        <v>58</v>
      </c>
      <c r="P46" t="s">
        <v>58</v>
      </c>
      <c r="Q46">
        <v>1</v>
      </c>
      <c r="X46">
        <v>22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3</v>
      </c>
      <c r="AG46">
        <v>22</v>
      </c>
      <c r="AH46">
        <v>3</v>
      </c>
      <c r="AI46">
        <v>-1</v>
      </c>
      <c r="AJ46" t="s">
        <v>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ROW(Source!A40)</f>
        <v>40</v>
      </c>
      <c r="B47">
        <v>53861079</v>
      </c>
      <c r="C47">
        <v>53860247</v>
      </c>
      <c r="D47">
        <v>33479789</v>
      </c>
      <c r="E47">
        <v>29506949</v>
      </c>
      <c r="F47">
        <v>1</v>
      </c>
      <c r="G47">
        <v>29506949</v>
      </c>
      <c r="H47">
        <v>3</v>
      </c>
      <c r="I47" t="s">
        <v>857</v>
      </c>
      <c r="J47" t="s">
        <v>3</v>
      </c>
      <c r="K47" t="s">
        <v>858</v>
      </c>
      <c r="L47">
        <v>1346</v>
      </c>
      <c r="N47">
        <v>1009</v>
      </c>
      <c r="O47" t="s">
        <v>58</v>
      </c>
      <c r="P47" t="s">
        <v>58</v>
      </c>
      <c r="Q47">
        <v>1</v>
      </c>
      <c r="X47">
        <v>33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 t="s">
        <v>3</v>
      </c>
      <c r="AG47">
        <v>33</v>
      </c>
      <c r="AH47">
        <v>3</v>
      </c>
      <c r="AI47">
        <v>-1</v>
      </c>
      <c r="AJ47" t="s">
        <v>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ROW(Source!A43)</f>
        <v>43</v>
      </c>
      <c r="B48">
        <v>53861413</v>
      </c>
      <c r="C48">
        <v>53861412</v>
      </c>
      <c r="D48">
        <v>29506954</v>
      </c>
      <c r="E48">
        <v>29506949</v>
      </c>
      <c r="F48">
        <v>1</v>
      </c>
      <c r="G48">
        <v>29506949</v>
      </c>
      <c r="H48">
        <v>1</v>
      </c>
      <c r="I48" t="s">
        <v>638</v>
      </c>
      <c r="J48" t="s">
        <v>3</v>
      </c>
      <c r="K48" t="s">
        <v>639</v>
      </c>
      <c r="L48">
        <v>1191</v>
      </c>
      <c r="N48">
        <v>1013</v>
      </c>
      <c r="O48" t="s">
        <v>640</v>
      </c>
      <c r="P48" t="s">
        <v>640</v>
      </c>
      <c r="Q48">
        <v>1</v>
      </c>
      <c r="X48">
        <v>108.36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52</v>
      </c>
      <c r="AG48">
        <v>124.61399999999999</v>
      </c>
      <c r="AH48">
        <v>2</v>
      </c>
      <c r="AI48">
        <v>53861413</v>
      </c>
      <c r="AJ48">
        <v>23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ROW(Source!A43)</f>
        <v>43</v>
      </c>
      <c r="B49">
        <v>53861414</v>
      </c>
      <c r="C49">
        <v>53861412</v>
      </c>
      <c r="D49">
        <v>29580491</v>
      </c>
      <c r="E49">
        <v>1</v>
      </c>
      <c r="F49">
        <v>1</v>
      </c>
      <c r="G49">
        <v>29506949</v>
      </c>
      <c r="H49">
        <v>2</v>
      </c>
      <c r="I49" t="s">
        <v>650</v>
      </c>
      <c r="J49" t="s">
        <v>651</v>
      </c>
      <c r="K49" t="s">
        <v>652</v>
      </c>
      <c r="L49">
        <v>1368</v>
      </c>
      <c r="N49">
        <v>1011</v>
      </c>
      <c r="O49" t="s">
        <v>647</v>
      </c>
      <c r="P49" t="s">
        <v>647</v>
      </c>
      <c r="Q49">
        <v>1</v>
      </c>
      <c r="X49">
        <v>0.14000000000000001</v>
      </c>
      <c r="Y49">
        <v>0</v>
      </c>
      <c r="Z49">
        <v>83.1</v>
      </c>
      <c r="AA49">
        <v>12.62</v>
      </c>
      <c r="AB49">
        <v>0</v>
      </c>
      <c r="AC49">
        <v>0</v>
      </c>
      <c r="AD49">
        <v>1</v>
      </c>
      <c r="AE49">
        <v>0</v>
      </c>
      <c r="AF49" t="s">
        <v>51</v>
      </c>
      <c r="AG49">
        <v>0.17500000000000002</v>
      </c>
      <c r="AH49">
        <v>2</v>
      </c>
      <c r="AI49">
        <v>53861414</v>
      </c>
      <c r="AJ49">
        <v>24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ROW(Source!A43)</f>
        <v>43</v>
      </c>
      <c r="B50">
        <v>53861415</v>
      </c>
      <c r="C50">
        <v>53861412</v>
      </c>
      <c r="D50">
        <v>29579738</v>
      </c>
      <c r="E50">
        <v>1</v>
      </c>
      <c r="F50">
        <v>1</v>
      </c>
      <c r="G50">
        <v>29506949</v>
      </c>
      <c r="H50">
        <v>2</v>
      </c>
      <c r="I50" t="s">
        <v>665</v>
      </c>
      <c r="J50" t="s">
        <v>666</v>
      </c>
      <c r="K50" t="s">
        <v>667</v>
      </c>
      <c r="L50">
        <v>1368</v>
      </c>
      <c r="N50">
        <v>1011</v>
      </c>
      <c r="O50" t="s">
        <v>647</v>
      </c>
      <c r="P50" t="s">
        <v>647</v>
      </c>
      <c r="Q50">
        <v>1</v>
      </c>
      <c r="X50">
        <v>0.25</v>
      </c>
      <c r="Y50">
        <v>0</v>
      </c>
      <c r="Z50">
        <v>179.17</v>
      </c>
      <c r="AA50">
        <v>16.93</v>
      </c>
      <c r="AB50">
        <v>0</v>
      </c>
      <c r="AC50">
        <v>0</v>
      </c>
      <c r="AD50">
        <v>1</v>
      </c>
      <c r="AE50">
        <v>0</v>
      </c>
      <c r="AF50" t="s">
        <v>51</v>
      </c>
      <c r="AG50">
        <v>0.3125</v>
      </c>
      <c r="AH50">
        <v>2</v>
      </c>
      <c r="AI50">
        <v>53861415</v>
      </c>
      <c r="AJ50">
        <v>25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ROW(Source!A43)</f>
        <v>43</v>
      </c>
      <c r="B51">
        <v>53861416</v>
      </c>
      <c r="C51">
        <v>53861412</v>
      </c>
      <c r="D51">
        <v>31659070</v>
      </c>
      <c r="E51">
        <v>1</v>
      </c>
      <c r="F51">
        <v>1</v>
      </c>
      <c r="G51">
        <v>29506949</v>
      </c>
      <c r="H51">
        <v>2</v>
      </c>
      <c r="I51" t="s">
        <v>668</v>
      </c>
      <c r="J51" t="s">
        <v>669</v>
      </c>
      <c r="K51" t="s">
        <v>670</v>
      </c>
      <c r="L51">
        <v>1368</v>
      </c>
      <c r="N51">
        <v>1011</v>
      </c>
      <c r="O51" t="s">
        <v>647</v>
      </c>
      <c r="P51" t="s">
        <v>647</v>
      </c>
      <c r="Q51">
        <v>1</v>
      </c>
      <c r="X51">
        <v>16.2</v>
      </c>
      <c r="Y51">
        <v>0</v>
      </c>
      <c r="Z51">
        <v>4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51</v>
      </c>
      <c r="AG51">
        <v>20.25</v>
      </c>
      <c r="AH51">
        <v>2</v>
      </c>
      <c r="AI51">
        <v>53861416</v>
      </c>
      <c r="AJ51">
        <v>26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ROW(Source!A43)</f>
        <v>43</v>
      </c>
      <c r="B52">
        <v>53861417</v>
      </c>
      <c r="C52">
        <v>53861412</v>
      </c>
      <c r="D52">
        <v>29523884</v>
      </c>
      <c r="E52">
        <v>29506949</v>
      </c>
      <c r="F52">
        <v>1</v>
      </c>
      <c r="G52">
        <v>29506949</v>
      </c>
      <c r="H52">
        <v>3</v>
      </c>
      <c r="I52" t="s">
        <v>859</v>
      </c>
      <c r="J52" t="s">
        <v>3</v>
      </c>
      <c r="K52" t="s">
        <v>860</v>
      </c>
      <c r="L52">
        <v>1327</v>
      </c>
      <c r="N52">
        <v>1005</v>
      </c>
      <c r="O52" t="s">
        <v>100</v>
      </c>
      <c r="P52" t="s">
        <v>100</v>
      </c>
      <c r="Q52">
        <v>1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3</v>
      </c>
      <c r="AG52">
        <v>0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ROW(Source!A45)</f>
        <v>45</v>
      </c>
      <c r="B53">
        <v>53860270</v>
      </c>
      <c r="C53">
        <v>53860264</v>
      </c>
      <c r="D53">
        <v>29506954</v>
      </c>
      <c r="E53">
        <v>29506949</v>
      </c>
      <c r="F53">
        <v>1</v>
      </c>
      <c r="G53">
        <v>29506949</v>
      </c>
      <c r="H53">
        <v>1</v>
      </c>
      <c r="I53" t="s">
        <v>638</v>
      </c>
      <c r="J53" t="s">
        <v>3</v>
      </c>
      <c r="K53" t="s">
        <v>639</v>
      </c>
      <c r="L53">
        <v>1191</v>
      </c>
      <c r="N53">
        <v>1013</v>
      </c>
      <c r="O53" t="s">
        <v>640</v>
      </c>
      <c r="P53" t="s">
        <v>640</v>
      </c>
      <c r="Q53">
        <v>1</v>
      </c>
      <c r="X53">
        <v>390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52</v>
      </c>
      <c r="AG53">
        <v>448.49999999999994</v>
      </c>
      <c r="AH53">
        <v>2</v>
      </c>
      <c r="AI53">
        <v>53860265</v>
      </c>
      <c r="AJ53">
        <v>28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ROW(Source!A45)</f>
        <v>45</v>
      </c>
      <c r="B54">
        <v>53860271</v>
      </c>
      <c r="C54">
        <v>53860264</v>
      </c>
      <c r="D54">
        <v>29579738</v>
      </c>
      <c r="E54">
        <v>1</v>
      </c>
      <c r="F54">
        <v>1</v>
      </c>
      <c r="G54">
        <v>29506949</v>
      </c>
      <c r="H54">
        <v>2</v>
      </c>
      <c r="I54" t="s">
        <v>665</v>
      </c>
      <c r="J54" t="s">
        <v>666</v>
      </c>
      <c r="K54" t="s">
        <v>667</v>
      </c>
      <c r="L54">
        <v>1368</v>
      </c>
      <c r="N54">
        <v>1011</v>
      </c>
      <c r="O54" t="s">
        <v>647</v>
      </c>
      <c r="P54" t="s">
        <v>647</v>
      </c>
      <c r="Q54">
        <v>1</v>
      </c>
      <c r="X54">
        <v>2.0230000000000001</v>
      </c>
      <c r="Y54">
        <v>0</v>
      </c>
      <c r="Z54">
        <v>179.17</v>
      </c>
      <c r="AA54">
        <v>16.93</v>
      </c>
      <c r="AB54">
        <v>0</v>
      </c>
      <c r="AC54">
        <v>0</v>
      </c>
      <c r="AD54">
        <v>1</v>
      </c>
      <c r="AE54">
        <v>0</v>
      </c>
      <c r="AF54" t="s">
        <v>51</v>
      </c>
      <c r="AG54">
        <v>2.5287500000000001</v>
      </c>
      <c r="AH54">
        <v>2</v>
      </c>
      <c r="AI54">
        <v>53860266</v>
      </c>
      <c r="AJ54">
        <v>29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ROW(Source!A45)</f>
        <v>45</v>
      </c>
      <c r="B55">
        <v>53860272</v>
      </c>
      <c r="C55">
        <v>53860264</v>
      </c>
      <c r="D55">
        <v>31659070</v>
      </c>
      <c r="E55">
        <v>1</v>
      </c>
      <c r="F55">
        <v>1</v>
      </c>
      <c r="G55">
        <v>29506949</v>
      </c>
      <c r="H55">
        <v>2</v>
      </c>
      <c r="I55" t="s">
        <v>668</v>
      </c>
      <c r="J55" t="s">
        <v>669</v>
      </c>
      <c r="K55" t="s">
        <v>670</v>
      </c>
      <c r="L55">
        <v>1368</v>
      </c>
      <c r="N55">
        <v>1011</v>
      </c>
      <c r="O55" t="s">
        <v>647</v>
      </c>
      <c r="P55" t="s">
        <v>647</v>
      </c>
      <c r="Q55">
        <v>1</v>
      </c>
      <c r="X55">
        <v>19.21</v>
      </c>
      <c r="Y55">
        <v>0</v>
      </c>
      <c r="Z55">
        <v>4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51</v>
      </c>
      <c r="AG55">
        <v>24.012500000000003</v>
      </c>
      <c r="AH55">
        <v>2</v>
      </c>
      <c r="AI55">
        <v>53860267</v>
      </c>
      <c r="AJ55">
        <v>30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ROW(Source!A45)</f>
        <v>45</v>
      </c>
      <c r="B56">
        <v>53860273</v>
      </c>
      <c r="C56">
        <v>53860264</v>
      </c>
      <c r="D56">
        <v>29556910</v>
      </c>
      <c r="E56">
        <v>1</v>
      </c>
      <c r="F56">
        <v>1</v>
      </c>
      <c r="G56">
        <v>29506949</v>
      </c>
      <c r="H56">
        <v>3</v>
      </c>
      <c r="I56" t="s">
        <v>671</v>
      </c>
      <c r="J56" t="s">
        <v>672</v>
      </c>
      <c r="K56" t="s">
        <v>673</v>
      </c>
      <c r="L56">
        <v>1348</v>
      </c>
      <c r="N56">
        <v>1009</v>
      </c>
      <c r="O56" t="s">
        <v>75</v>
      </c>
      <c r="P56" t="s">
        <v>75</v>
      </c>
      <c r="Q56">
        <v>1000</v>
      </c>
      <c r="X56">
        <v>8.0000000000000002E-3</v>
      </c>
      <c r="Y56">
        <v>7191.81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8.0000000000000002E-3</v>
      </c>
      <c r="AH56">
        <v>2</v>
      </c>
      <c r="AI56">
        <v>53860268</v>
      </c>
      <c r="AJ56">
        <v>31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ROW(Source!A45)</f>
        <v>45</v>
      </c>
      <c r="B57">
        <v>53860274</v>
      </c>
      <c r="C57">
        <v>53860264</v>
      </c>
      <c r="D57">
        <v>29577097</v>
      </c>
      <c r="E57">
        <v>1</v>
      </c>
      <c r="F57">
        <v>1</v>
      </c>
      <c r="G57">
        <v>29506949</v>
      </c>
      <c r="H57">
        <v>3</v>
      </c>
      <c r="I57" t="s">
        <v>674</v>
      </c>
      <c r="J57" t="s">
        <v>675</v>
      </c>
      <c r="K57" t="s">
        <v>676</v>
      </c>
      <c r="L57">
        <v>1348</v>
      </c>
      <c r="N57">
        <v>1009</v>
      </c>
      <c r="O57" t="s">
        <v>75</v>
      </c>
      <c r="P57" t="s">
        <v>75</v>
      </c>
      <c r="Q57">
        <v>1000</v>
      </c>
      <c r="X57">
        <v>2.3E-2</v>
      </c>
      <c r="Y57">
        <v>12654.07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2.3E-2</v>
      </c>
      <c r="AH57">
        <v>2</v>
      </c>
      <c r="AI57">
        <v>53860269</v>
      </c>
      <c r="AJ57">
        <v>32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ROW(Source!A45)</f>
        <v>45</v>
      </c>
      <c r="B58">
        <v>53860275</v>
      </c>
      <c r="C58">
        <v>53860264</v>
      </c>
      <c r="D58">
        <v>29520042</v>
      </c>
      <c r="E58">
        <v>29506949</v>
      </c>
      <c r="F58">
        <v>1</v>
      </c>
      <c r="G58">
        <v>29506949</v>
      </c>
      <c r="H58">
        <v>3</v>
      </c>
      <c r="I58" t="s">
        <v>859</v>
      </c>
      <c r="J58" t="s">
        <v>3</v>
      </c>
      <c r="K58" t="s">
        <v>860</v>
      </c>
      <c r="L58">
        <v>1327</v>
      </c>
      <c r="N58">
        <v>1005</v>
      </c>
      <c r="O58" t="s">
        <v>100</v>
      </c>
      <c r="P58" t="s">
        <v>100</v>
      </c>
      <c r="Q58">
        <v>1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 t="s">
        <v>3</v>
      </c>
      <c r="AG58">
        <v>0</v>
      </c>
      <c r="AH58">
        <v>3</v>
      </c>
      <c r="AI58">
        <v>-1</v>
      </c>
      <c r="AJ58" t="s">
        <v>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ROW(Source!A47)</f>
        <v>47</v>
      </c>
      <c r="B59">
        <v>53861080</v>
      </c>
      <c r="C59">
        <v>53860278</v>
      </c>
      <c r="D59">
        <v>29506954</v>
      </c>
      <c r="E59">
        <v>29506949</v>
      </c>
      <c r="F59">
        <v>1</v>
      </c>
      <c r="G59">
        <v>29506949</v>
      </c>
      <c r="H59">
        <v>1</v>
      </c>
      <c r="I59" t="s">
        <v>638</v>
      </c>
      <c r="J59" t="s">
        <v>3</v>
      </c>
      <c r="K59" t="s">
        <v>639</v>
      </c>
      <c r="L59">
        <v>1191</v>
      </c>
      <c r="N59">
        <v>1013</v>
      </c>
      <c r="O59" t="s">
        <v>640</v>
      </c>
      <c r="P59" t="s">
        <v>640</v>
      </c>
      <c r="Q59">
        <v>1</v>
      </c>
      <c r="X59">
        <v>176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52</v>
      </c>
      <c r="AG59">
        <v>202.39999999999998</v>
      </c>
      <c r="AH59">
        <v>2</v>
      </c>
      <c r="AI59">
        <v>53860279</v>
      </c>
      <c r="AJ59">
        <v>34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ROW(Source!A47)</f>
        <v>47</v>
      </c>
      <c r="B60">
        <v>53861081</v>
      </c>
      <c r="C60">
        <v>53860278</v>
      </c>
      <c r="D60">
        <v>29580491</v>
      </c>
      <c r="E60">
        <v>1</v>
      </c>
      <c r="F60">
        <v>1</v>
      </c>
      <c r="G60">
        <v>29506949</v>
      </c>
      <c r="H60">
        <v>2</v>
      </c>
      <c r="I60" t="s">
        <v>650</v>
      </c>
      <c r="J60" t="s">
        <v>651</v>
      </c>
      <c r="K60" t="s">
        <v>652</v>
      </c>
      <c r="L60">
        <v>1368</v>
      </c>
      <c r="N60">
        <v>1011</v>
      </c>
      <c r="O60" t="s">
        <v>647</v>
      </c>
      <c r="P60" t="s">
        <v>647</v>
      </c>
      <c r="Q60">
        <v>1</v>
      </c>
      <c r="X60">
        <v>0.15</v>
      </c>
      <c r="Y60">
        <v>0</v>
      </c>
      <c r="Z60">
        <v>83.1</v>
      </c>
      <c r="AA60">
        <v>12.62</v>
      </c>
      <c r="AB60">
        <v>0</v>
      </c>
      <c r="AC60">
        <v>0</v>
      </c>
      <c r="AD60">
        <v>1</v>
      </c>
      <c r="AE60">
        <v>0</v>
      </c>
      <c r="AF60" t="s">
        <v>51</v>
      </c>
      <c r="AG60">
        <v>0.1875</v>
      </c>
      <c r="AH60">
        <v>3</v>
      </c>
      <c r="AI60">
        <v>-1</v>
      </c>
      <c r="AJ60" t="s">
        <v>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ROW(Source!A47)</f>
        <v>47</v>
      </c>
      <c r="B61">
        <v>53861082</v>
      </c>
      <c r="C61">
        <v>53860278</v>
      </c>
      <c r="D61">
        <v>29580613</v>
      </c>
      <c r="E61">
        <v>1</v>
      </c>
      <c r="F61">
        <v>1</v>
      </c>
      <c r="G61">
        <v>29506949</v>
      </c>
      <c r="H61">
        <v>2</v>
      </c>
      <c r="I61" t="s">
        <v>769</v>
      </c>
      <c r="J61" t="s">
        <v>770</v>
      </c>
      <c r="K61" t="s">
        <v>771</v>
      </c>
      <c r="L61">
        <v>1368</v>
      </c>
      <c r="N61">
        <v>1011</v>
      </c>
      <c r="O61" t="s">
        <v>647</v>
      </c>
      <c r="P61" t="s">
        <v>647</v>
      </c>
      <c r="Q61">
        <v>1</v>
      </c>
      <c r="X61">
        <v>5.35</v>
      </c>
      <c r="Y61">
        <v>0</v>
      </c>
      <c r="Z61">
        <v>0.8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51</v>
      </c>
      <c r="AG61">
        <v>6.6875</v>
      </c>
      <c r="AH61">
        <v>3</v>
      </c>
      <c r="AI61">
        <v>-1</v>
      </c>
      <c r="AJ61" t="s">
        <v>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ROW(Source!A47)</f>
        <v>47</v>
      </c>
      <c r="B62">
        <v>53861083</v>
      </c>
      <c r="C62">
        <v>53860278</v>
      </c>
      <c r="D62">
        <v>29580571</v>
      </c>
      <c r="E62">
        <v>1</v>
      </c>
      <c r="F62">
        <v>1</v>
      </c>
      <c r="G62">
        <v>29506949</v>
      </c>
      <c r="H62">
        <v>2</v>
      </c>
      <c r="I62" t="s">
        <v>644</v>
      </c>
      <c r="J62" t="s">
        <v>645</v>
      </c>
      <c r="K62" t="s">
        <v>646</v>
      </c>
      <c r="L62">
        <v>1368</v>
      </c>
      <c r="N62">
        <v>1011</v>
      </c>
      <c r="O62" t="s">
        <v>647</v>
      </c>
      <c r="P62" t="s">
        <v>647</v>
      </c>
      <c r="Q62">
        <v>1</v>
      </c>
      <c r="X62">
        <v>1.56</v>
      </c>
      <c r="Y62">
        <v>0</v>
      </c>
      <c r="Z62">
        <v>0.47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51</v>
      </c>
      <c r="AG62">
        <v>1.9500000000000002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ROW(Source!A47)</f>
        <v>47</v>
      </c>
      <c r="B63">
        <v>53861084</v>
      </c>
      <c r="C63">
        <v>53860278</v>
      </c>
      <c r="D63">
        <v>29556845</v>
      </c>
      <c r="E63">
        <v>1</v>
      </c>
      <c r="F63">
        <v>1</v>
      </c>
      <c r="G63">
        <v>29506949</v>
      </c>
      <c r="H63">
        <v>3</v>
      </c>
      <c r="I63" t="s">
        <v>861</v>
      </c>
      <c r="J63" t="s">
        <v>862</v>
      </c>
      <c r="K63" t="s">
        <v>863</v>
      </c>
      <c r="L63">
        <v>1348</v>
      </c>
      <c r="N63">
        <v>1009</v>
      </c>
      <c r="O63" t="s">
        <v>75</v>
      </c>
      <c r="P63" t="s">
        <v>75</v>
      </c>
      <c r="Q63">
        <v>1000</v>
      </c>
      <c r="X63">
        <v>4.1099999999999999E-3</v>
      </c>
      <c r="Y63">
        <v>12424.76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4.1099999999999999E-3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ROW(Source!A47)</f>
        <v>47</v>
      </c>
      <c r="B64">
        <v>53861085</v>
      </c>
      <c r="C64">
        <v>53860278</v>
      </c>
      <c r="D64">
        <v>29555544</v>
      </c>
      <c r="E64">
        <v>1</v>
      </c>
      <c r="F64">
        <v>1</v>
      </c>
      <c r="G64">
        <v>29506949</v>
      </c>
      <c r="H64">
        <v>3</v>
      </c>
      <c r="I64" t="s">
        <v>677</v>
      </c>
      <c r="J64" t="s">
        <v>678</v>
      </c>
      <c r="K64" t="s">
        <v>679</v>
      </c>
      <c r="L64">
        <v>1348</v>
      </c>
      <c r="N64">
        <v>1009</v>
      </c>
      <c r="O64" t="s">
        <v>75</v>
      </c>
      <c r="P64" t="s">
        <v>75</v>
      </c>
      <c r="Q64">
        <v>1000</v>
      </c>
      <c r="X64">
        <v>2.8500000000000001E-3</v>
      </c>
      <c r="Y64">
        <v>17876.91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2.8500000000000001E-3</v>
      </c>
      <c r="AH64">
        <v>2</v>
      </c>
      <c r="AI64">
        <v>53860281</v>
      </c>
      <c r="AJ64">
        <v>37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ROW(Source!A47)</f>
        <v>47</v>
      </c>
      <c r="B65">
        <v>53861086</v>
      </c>
      <c r="C65">
        <v>53860278</v>
      </c>
      <c r="D65">
        <v>34911571</v>
      </c>
      <c r="E65">
        <v>29506949</v>
      </c>
      <c r="F65">
        <v>1</v>
      </c>
      <c r="G65">
        <v>29506949</v>
      </c>
      <c r="H65">
        <v>3</v>
      </c>
      <c r="I65" t="s">
        <v>864</v>
      </c>
      <c r="J65" t="s">
        <v>3</v>
      </c>
      <c r="K65" t="s">
        <v>865</v>
      </c>
      <c r="L65">
        <v>1391</v>
      </c>
      <c r="N65">
        <v>1013</v>
      </c>
      <c r="O65" t="s">
        <v>116</v>
      </c>
      <c r="P65" t="s">
        <v>116</v>
      </c>
      <c r="Q65">
        <v>1</v>
      </c>
      <c r="X65">
        <v>100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 t="s">
        <v>3</v>
      </c>
      <c r="AG65">
        <v>100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ROW(Source!A47)</f>
        <v>47</v>
      </c>
      <c r="B66">
        <v>53861087</v>
      </c>
      <c r="C66">
        <v>53860278</v>
      </c>
      <c r="D66">
        <v>29521490</v>
      </c>
      <c r="E66">
        <v>29506949</v>
      </c>
      <c r="F66">
        <v>1</v>
      </c>
      <c r="G66">
        <v>29506949</v>
      </c>
      <c r="H66">
        <v>3</v>
      </c>
      <c r="I66" t="s">
        <v>866</v>
      </c>
      <c r="J66" t="s">
        <v>3</v>
      </c>
      <c r="K66" t="s">
        <v>867</v>
      </c>
      <c r="L66">
        <v>1327</v>
      </c>
      <c r="N66">
        <v>1005</v>
      </c>
      <c r="O66" t="s">
        <v>100</v>
      </c>
      <c r="P66" t="s">
        <v>100</v>
      </c>
      <c r="Q66">
        <v>1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 t="s">
        <v>3</v>
      </c>
      <c r="AG66">
        <v>0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ROW(Source!A50)</f>
        <v>50</v>
      </c>
      <c r="B67">
        <v>53861088</v>
      </c>
      <c r="C67">
        <v>53860293</v>
      </c>
      <c r="D67">
        <v>29506954</v>
      </c>
      <c r="E67">
        <v>29506949</v>
      </c>
      <c r="F67">
        <v>1</v>
      </c>
      <c r="G67">
        <v>29506949</v>
      </c>
      <c r="H67">
        <v>1</v>
      </c>
      <c r="I67" t="s">
        <v>638</v>
      </c>
      <c r="J67" t="s">
        <v>3</v>
      </c>
      <c r="K67" t="s">
        <v>639</v>
      </c>
      <c r="L67">
        <v>1191</v>
      </c>
      <c r="N67">
        <v>1013</v>
      </c>
      <c r="O67" t="s">
        <v>640</v>
      </c>
      <c r="P67" t="s">
        <v>640</v>
      </c>
      <c r="Q67">
        <v>1</v>
      </c>
      <c r="X67">
        <v>107.93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52</v>
      </c>
      <c r="AG67">
        <v>124.1195</v>
      </c>
      <c r="AH67">
        <v>2</v>
      </c>
      <c r="AI67">
        <v>53860310</v>
      </c>
      <c r="AJ67">
        <v>40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ROW(Source!A50)</f>
        <v>50</v>
      </c>
      <c r="B68">
        <v>53861089</v>
      </c>
      <c r="C68">
        <v>53860293</v>
      </c>
      <c r="D68">
        <v>29580491</v>
      </c>
      <c r="E68">
        <v>1</v>
      </c>
      <c r="F68">
        <v>1</v>
      </c>
      <c r="G68">
        <v>29506949</v>
      </c>
      <c r="H68">
        <v>2</v>
      </c>
      <c r="I68" t="s">
        <v>650</v>
      </c>
      <c r="J68" t="s">
        <v>651</v>
      </c>
      <c r="K68" t="s">
        <v>652</v>
      </c>
      <c r="L68">
        <v>1368</v>
      </c>
      <c r="N68">
        <v>1011</v>
      </c>
      <c r="O68" t="s">
        <v>647</v>
      </c>
      <c r="P68" t="s">
        <v>647</v>
      </c>
      <c r="Q68">
        <v>1</v>
      </c>
      <c r="X68">
        <v>0.19</v>
      </c>
      <c r="Y68">
        <v>0</v>
      </c>
      <c r="Z68">
        <v>83.1</v>
      </c>
      <c r="AA68">
        <v>12.62</v>
      </c>
      <c r="AB68">
        <v>0</v>
      </c>
      <c r="AC68">
        <v>0</v>
      </c>
      <c r="AD68">
        <v>1</v>
      </c>
      <c r="AE68">
        <v>0</v>
      </c>
      <c r="AF68" t="s">
        <v>51</v>
      </c>
      <c r="AG68">
        <v>0.23749999999999999</v>
      </c>
      <c r="AH68">
        <v>2</v>
      </c>
      <c r="AI68">
        <v>53860311</v>
      </c>
      <c r="AJ68">
        <v>41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ROW(Source!A50)</f>
        <v>50</v>
      </c>
      <c r="B69">
        <v>53861091</v>
      </c>
      <c r="C69">
        <v>53860293</v>
      </c>
      <c r="D69">
        <v>29580614</v>
      </c>
      <c r="E69">
        <v>1</v>
      </c>
      <c r="F69">
        <v>1</v>
      </c>
      <c r="G69">
        <v>29506949</v>
      </c>
      <c r="H69">
        <v>2</v>
      </c>
      <c r="I69" t="s">
        <v>682</v>
      </c>
      <c r="J69" t="s">
        <v>683</v>
      </c>
      <c r="K69" t="s">
        <v>684</v>
      </c>
      <c r="L69">
        <v>1368</v>
      </c>
      <c r="N69">
        <v>1011</v>
      </c>
      <c r="O69" t="s">
        <v>647</v>
      </c>
      <c r="P69" t="s">
        <v>647</v>
      </c>
      <c r="Q69">
        <v>1</v>
      </c>
      <c r="X69">
        <v>1.3</v>
      </c>
      <c r="Y69">
        <v>0</v>
      </c>
      <c r="Z69">
        <v>1.1100000000000001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51</v>
      </c>
      <c r="AG69">
        <v>1.625</v>
      </c>
      <c r="AH69">
        <v>2</v>
      </c>
      <c r="AI69">
        <v>53860313</v>
      </c>
      <c r="AJ69">
        <v>42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ROW(Source!A50)</f>
        <v>50</v>
      </c>
      <c r="B70">
        <v>53861092</v>
      </c>
      <c r="C70">
        <v>53860293</v>
      </c>
      <c r="D70">
        <v>29580549</v>
      </c>
      <c r="E70">
        <v>1</v>
      </c>
      <c r="F70">
        <v>1</v>
      </c>
      <c r="G70">
        <v>29506949</v>
      </c>
      <c r="H70">
        <v>2</v>
      </c>
      <c r="I70" t="s">
        <v>685</v>
      </c>
      <c r="J70" t="s">
        <v>686</v>
      </c>
      <c r="K70" t="s">
        <v>687</v>
      </c>
      <c r="L70">
        <v>1368</v>
      </c>
      <c r="N70">
        <v>1011</v>
      </c>
      <c r="O70" t="s">
        <v>647</v>
      </c>
      <c r="P70" t="s">
        <v>647</v>
      </c>
      <c r="Q70">
        <v>1</v>
      </c>
      <c r="X70">
        <v>0.32</v>
      </c>
      <c r="Y70">
        <v>0</v>
      </c>
      <c r="Z70">
        <v>0.39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51</v>
      </c>
      <c r="AG70">
        <v>0.4</v>
      </c>
      <c r="AH70">
        <v>2</v>
      </c>
      <c r="AI70">
        <v>53860294</v>
      </c>
      <c r="AJ70">
        <v>43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ROW(Source!A50)</f>
        <v>50</v>
      </c>
      <c r="B71">
        <v>53861093</v>
      </c>
      <c r="C71">
        <v>53860293</v>
      </c>
      <c r="D71">
        <v>29580571</v>
      </c>
      <c r="E71">
        <v>1</v>
      </c>
      <c r="F71">
        <v>1</v>
      </c>
      <c r="G71">
        <v>29506949</v>
      </c>
      <c r="H71">
        <v>2</v>
      </c>
      <c r="I71" t="s">
        <v>644</v>
      </c>
      <c r="J71" t="s">
        <v>645</v>
      </c>
      <c r="K71" t="s">
        <v>646</v>
      </c>
      <c r="L71">
        <v>1368</v>
      </c>
      <c r="N71">
        <v>1011</v>
      </c>
      <c r="O71" t="s">
        <v>647</v>
      </c>
      <c r="P71" t="s">
        <v>647</v>
      </c>
      <c r="Q71">
        <v>1</v>
      </c>
      <c r="X71">
        <v>2.2000000000000002</v>
      </c>
      <c r="Y71">
        <v>0</v>
      </c>
      <c r="Z71">
        <v>0.47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51</v>
      </c>
      <c r="AG71">
        <v>2.75</v>
      </c>
      <c r="AH71">
        <v>2</v>
      </c>
      <c r="AI71">
        <v>53860295</v>
      </c>
      <c r="AJ71">
        <v>44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ROW(Source!A50)</f>
        <v>50</v>
      </c>
      <c r="B72">
        <v>53861090</v>
      </c>
      <c r="C72">
        <v>53860293</v>
      </c>
      <c r="D72">
        <v>29579738</v>
      </c>
      <c r="E72">
        <v>1</v>
      </c>
      <c r="F72">
        <v>1</v>
      </c>
      <c r="G72">
        <v>29506949</v>
      </c>
      <c r="H72">
        <v>2</v>
      </c>
      <c r="I72" t="s">
        <v>665</v>
      </c>
      <c r="J72" t="s">
        <v>666</v>
      </c>
      <c r="K72" t="s">
        <v>667</v>
      </c>
      <c r="L72">
        <v>1368</v>
      </c>
      <c r="N72">
        <v>1011</v>
      </c>
      <c r="O72" t="s">
        <v>647</v>
      </c>
      <c r="P72" t="s">
        <v>647</v>
      </c>
      <c r="Q72">
        <v>1</v>
      </c>
      <c r="X72">
        <v>0.19</v>
      </c>
      <c r="Y72">
        <v>0</v>
      </c>
      <c r="Z72">
        <v>179.17</v>
      </c>
      <c r="AA72">
        <v>16.93</v>
      </c>
      <c r="AB72">
        <v>0</v>
      </c>
      <c r="AC72">
        <v>0</v>
      </c>
      <c r="AD72">
        <v>1</v>
      </c>
      <c r="AE72">
        <v>0</v>
      </c>
      <c r="AF72" t="s">
        <v>51</v>
      </c>
      <c r="AG72">
        <v>0.23749999999999999</v>
      </c>
      <c r="AH72">
        <v>2</v>
      </c>
      <c r="AI72">
        <v>53860312</v>
      </c>
      <c r="AJ72">
        <v>45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ROW(Source!A50)</f>
        <v>50</v>
      </c>
      <c r="B73">
        <v>53861094</v>
      </c>
      <c r="C73">
        <v>53860293</v>
      </c>
      <c r="D73">
        <v>29558471</v>
      </c>
      <c r="E73">
        <v>1</v>
      </c>
      <c r="F73">
        <v>1</v>
      </c>
      <c r="G73">
        <v>29506949</v>
      </c>
      <c r="H73">
        <v>3</v>
      </c>
      <c r="I73" t="s">
        <v>688</v>
      </c>
      <c r="J73" t="s">
        <v>689</v>
      </c>
      <c r="K73" t="s">
        <v>690</v>
      </c>
      <c r="L73">
        <v>1355</v>
      </c>
      <c r="N73">
        <v>1010</v>
      </c>
      <c r="O73" t="s">
        <v>129</v>
      </c>
      <c r="P73" t="s">
        <v>129</v>
      </c>
      <c r="Q73">
        <v>100</v>
      </c>
      <c r="X73">
        <v>0.81</v>
      </c>
      <c r="Y73">
        <v>94.94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0.81</v>
      </c>
      <c r="AH73">
        <v>2</v>
      </c>
      <c r="AI73">
        <v>53860296</v>
      </c>
      <c r="AJ73">
        <v>46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ROW(Source!A50)</f>
        <v>50</v>
      </c>
      <c r="B74">
        <v>53861095</v>
      </c>
      <c r="C74">
        <v>53860293</v>
      </c>
      <c r="D74">
        <v>29558629</v>
      </c>
      <c r="E74">
        <v>1</v>
      </c>
      <c r="F74">
        <v>1</v>
      </c>
      <c r="G74">
        <v>29506949</v>
      </c>
      <c r="H74">
        <v>3</v>
      </c>
      <c r="I74" t="s">
        <v>602</v>
      </c>
      <c r="J74" t="s">
        <v>604</v>
      </c>
      <c r="K74" t="s">
        <v>603</v>
      </c>
      <c r="L74">
        <v>1296</v>
      </c>
      <c r="N74">
        <v>1002</v>
      </c>
      <c r="O74" t="s">
        <v>154</v>
      </c>
      <c r="P74" t="s">
        <v>154</v>
      </c>
      <c r="Q74">
        <v>1</v>
      </c>
      <c r="X74">
        <v>10</v>
      </c>
      <c r="Y74">
        <v>40.17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10</v>
      </c>
      <c r="AH74">
        <v>2</v>
      </c>
      <c r="AI74">
        <v>53860297</v>
      </c>
      <c r="AJ74">
        <v>47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ROW(Source!A50)</f>
        <v>50</v>
      </c>
      <c r="B75">
        <v>53861096</v>
      </c>
      <c r="C75">
        <v>53860293</v>
      </c>
      <c r="D75">
        <v>29558791</v>
      </c>
      <c r="E75">
        <v>1</v>
      </c>
      <c r="F75">
        <v>1</v>
      </c>
      <c r="G75">
        <v>29506949</v>
      </c>
      <c r="H75">
        <v>3</v>
      </c>
      <c r="I75" t="s">
        <v>691</v>
      </c>
      <c r="J75" t="s">
        <v>692</v>
      </c>
      <c r="K75" t="s">
        <v>693</v>
      </c>
      <c r="L75">
        <v>1301</v>
      </c>
      <c r="N75">
        <v>1003</v>
      </c>
      <c r="O75" t="s">
        <v>125</v>
      </c>
      <c r="P75" t="s">
        <v>125</v>
      </c>
      <c r="Q75">
        <v>1</v>
      </c>
      <c r="X75">
        <v>68</v>
      </c>
      <c r="Y75">
        <v>0.89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68</v>
      </c>
      <c r="AH75">
        <v>2</v>
      </c>
      <c r="AI75">
        <v>53860298</v>
      </c>
      <c r="AJ75">
        <v>48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ROW(Source!A50)</f>
        <v>50</v>
      </c>
      <c r="B76">
        <v>53861097</v>
      </c>
      <c r="C76">
        <v>53860293</v>
      </c>
      <c r="D76">
        <v>29558792</v>
      </c>
      <c r="E76">
        <v>1</v>
      </c>
      <c r="F76">
        <v>1</v>
      </c>
      <c r="G76">
        <v>29506949</v>
      </c>
      <c r="H76">
        <v>3</v>
      </c>
      <c r="I76" t="s">
        <v>694</v>
      </c>
      <c r="J76" t="s">
        <v>695</v>
      </c>
      <c r="K76" t="s">
        <v>696</v>
      </c>
      <c r="L76">
        <v>1301</v>
      </c>
      <c r="N76">
        <v>1003</v>
      </c>
      <c r="O76" t="s">
        <v>125</v>
      </c>
      <c r="P76" t="s">
        <v>125</v>
      </c>
      <c r="Q76">
        <v>1</v>
      </c>
      <c r="X76">
        <v>135</v>
      </c>
      <c r="Y76">
        <v>1.62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135</v>
      </c>
      <c r="AH76">
        <v>2</v>
      </c>
      <c r="AI76">
        <v>53860299</v>
      </c>
      <c r="AJ76">
        <v>49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ROW(Source!A50)</f>
        <v>50</v>
      </c>
      <c r="B77">
        <v>53861098</v>
      </c>
      <c r="C77">
        <v>53860293</v>
      </c>
      <c r="D77">
        <v>29558796</v>
      </c>
      <c r="E77">
        <v>1</v>
      </c>
      <c r="F77">
        <v>1</v>
      </c>
      <c r="G77">
        <v>29506949</v>
      </c>
      <c r="H77">
        <v>3</v>
      </c>
      <c r="I77" t="s">
        <v>697</v>
      </c>
      <c r="J77" t="s">
        <v>698</v>
      </c>
      <c r="K77" t="s">
        <v>699</v>
      </c>
      <c r="L77">
        <v>1355</v>
      </c>
      <c r="N77">
        <v>1010</v>
      </c>
      <c r="O77" t="s">
        <v>129</v>
      </c>
      <c r="P77" t="s">
        <v>129</v>
      </c>
      <c r="Q77">
        <v>100</v>
      </c>
      <c r="X77">
        <v>3.68</v>
      </c>
      <c r="Y77">
        <v>4.93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3.68</v>
      </c>
      <c r="AH77">
        <v>2</v>
      </c>
      <c r="AI77">
        <v>53860300</v>
      </c>
      <c r="AJ77">
        <v>51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ROW(Source!A50)</f>
        <v>50</v>
      </c>
      <c r="B78">
        <v>53861099</v>
      </c>
      <c r="C78">
        <v>53860293</v>
      </c>
      <c r="D78">
        <v>29558797</v>
      </c>
      <c r="E78">
        <v>1</v>
      </c>
      <c r="F78">
        <v>1</v>
      </c>
      <c r="G78">
        <v>29506949</v>
      </c>
      <c r="H78">
        <v>3</v>
      </c>
      <c r="I78" t="s">
        <v>700</v>
      </c>
      <c r="J78" t="s">
        <v>701</v>
      </c>
      <c r="K78" t="s">
        <v>702</v>
      </c>
      <c r="L78">
        <v>1355</v>
      </c>
      <c r="N78">
        <v>1010</v>
      </c>
      <c r="O78" t="s">
        <v>129</v>
      </c>
      <c r="P78" t="s">
        <v>129</v>
      </c>
      <c r="Q78">
        <v>100</v>
      </c>
      <c r="X78">
        <v>22.21</v>
      </c>
      <c r="Y78">
        <v>4.2699999999999996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22.21</v>
      </c>
      <c r="AH78">
        <v>2</v>
      </c>
      <c r="AI78">
        <v>53860301</v>
      </c>
      <c r="AJ78">
        <v>52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ROW(Source!A50)</f>
        <v>50</v>
      </c>
      <c r="B79">
        <v>53861100</v>
      </c>
      <c r="C79">
        <v>53860293</v>
      </c>
      <c r="D79">
        <v>29558800</v>
      </c>
      <c r="E79">
        <v>1</v>
      </c>
      <c r="F79">
        <v>1</v>
      </c>
      <c r="G79">
        <v>29506949</v>
      </c>
      <c r="H79">
        <v>3</v>
      </c>
      <c r="I79" t="s">
        <v>703</v>
      </c>
      <c r="J79" t="s">
        <v>704</v>
      </c>
      <c r="K79" t="s">
        <v>705</v>
      </c>
      <c r="L79">
        <v>1355</v>
      </c>
      <c r="N79">
        <v>1010</v>
      </c>
      <c r="O79" t="s">
        <v>129</v>
      </c>
      <c r="P79" t="s">
        <v>129</v>
      </c>
      <c r="Q79">
        <v>100</v>
      </c>
      <c r="X79">
        <v>3.22</v>
      </c>
      <c r="Y79">
        <v>43.81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3.22</v>
      </c>
      <c r="AH79">
        <v>2</v>
      </c>
      <c r="AI79">
        <v>53860302</v>
      </c>
      <c r="AJ79">
        <v>53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ROW(Source!A50)</f>
        <v>50</v>
      </c>
      <c r="B80">
        <v>53861101</v>
      </c>
      <c r="C80">
        <v>53860293</v>
      </c>
      <c r="D80">
        <v>29574265</v>
      </c>
      <c r="E80">
        <v>1</v>
      </c>
      <c r="F80">
        <v>1</v>
      </c>
      <c r="G80">
        <v>29506949</v>
      </c>
      <c r="H80">
        <v>3</v>
      </c>
      <c r="I80" t="s">
        <v>706</v>
      </c>
      <c r="J80" t="s">
        <v>707</v>
      </c>
      <c r="K80" t="s">
        <v>708</v>
      </c>
      <c r="L80">
        <v>1346</v>
      </c>
      <c r="N80">
        <v>1009</v>
      </c>
      <c r="O80" t="s">
        <v>58</v>
      </c>
      <c r="P80" t="s">
        <v>58</v>
      </c>
      <c r="Q80">
        <v>1</v>
      </c>
      <c r="X80">
        <v>4</v>
      </c>
      <c r="Y80">
        <v>14.88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4</v>
      </c>
      <c r="AH80">
        <v>2</v>
      </c>
      <c r="AI80">
        <v>53860303</v>
      </c>
      <c r="AJ80">
        <v>55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ROW(Source!A50)</f>
        <v>50</v>
      </c>
      <c r="B81">
        <v>53861102</v>
      </c>
      <c r="C81">
        <v>53860293</v>
      </c>
      <c r="D81">
        <v>29574151</v>
      </c>
      <c r="E81">
        <v>1</v>
      </c>
      <c r="F81">
        <v>1</v>
      </c>
      <c r="G81">
        <v>29506949</v>
      </c>
      <c r="H81">
        <v>3</v>
      </c>
      <c r="I81" t="s">
        <v>709</v>
      </c>
      <c r="J81" t="s">
        <v>710</v>
      </c>
      <c r="K81" t="s">
        <v>711</v>
      </c>
      <c r="L81">
        <v>1346</v>
      </c>
      <c r="N81">
        <v>1009</v>
      </c>
      <c r="O81" t="s">
        <v>58</v>
      </c>
      <c r="P81" t="s">
        <v>58</v>
      </c>
      <c r="Q81">
        <v>1</v>
      </c>
      <c r="X81">
        <v>42</v>
      </c>
      <c r="Y81">
        <v>5.19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42</v>
      </c>
      <c r="AH81">
        <v>2</v>
      </c>
      <c r="AI81">
        <v>53860304</v>
      </c>
      <c r="AJ81">
        <v>56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ROW(Source!A50)</f>
        <v>50</v>
      </c>
      <c r="B82">
        <v>53861103</v>
      </c>
      <c r="C82">
        <v>53860293</v>
      </c>
      <c r="D82">
        <v>29577896</v>
      </c>
      <c r="E82">
        <v>1</v>
      </c>
      <c r="F82">
        <v>1</v>
      </c>
      <c r="G82">
        <v>29506949</v>
      </c>
      <c r="H82">
        <v>3</v>
      </c>
      <c r="I82" t="s">
        <v>712</v>
      </c>
      <c r="J82" t="s">
        <v>713</v>
      </c>
      <c r="K82" t="s">
        <v>714</v>
      </c>
      <c r="L82">
        <v>1301</v>
      </c>
      <c r="N82">
        <v>1003</v>
      </c>
      <c r="O82" t="s">
        <v>125</v>
      </c>
      <c r="P82" t="s">
        <v>125</v>
      </c>
      <c r="Q82">
        <v>1</v>
      </c>
      <c r="X82">
        <v>136</v>
      </c>
      <c r="Y82">
        <v>14.41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136</v>
      </c>
      <c r="AH82">
        <v>2</v>
      </c>
      <c r="AI82">
        <v>53860305</v>
      </c>
      <c r="AJ82">
        <v>57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ROW(Source!A50)</f>
        <v>50</v>
      </c>
      <c r="B83">
        <v>53861104</v>
      </c>
      <c r="C83">
        <v>53860293</v>
      </c>
      <c r="D83">
        <v>29577900</v>
      </c>
      <c r="E83">
        <v>1</v>
      </c>
      <c r="F83">
        <v>1</v>
      </c>
      <c r="G83">
        <v>29506949</v>
      </c>
      <c r="H83">
        <v>3</v>
      </c>
      <c r="I83" t="s">
        <v>715</v>
      </c>
      <c r="J83" t="s">
        <v>716</v>
      </c>
      <c r="K83" t="s">
        <v>717</v>
      </c>
      <c r="L83">
        <v>1301</v>
      </c>
      <c r="N83">
        <v>1003</v>
      </c>
      <c r="O83" t="s">
        <v>125</v>
      </c>
      <c r="P83" t="s">
        <v>125</v>
      </c>
      <c r="Q83">
        <v>1</v>
      </c>
      <c r="X83">
        <v>306</v>
      </c>
      <c r="Y83">
        <v>14.61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306</v>
      </c>
      <c r="AH83">
        <v>2</v>
      </c>
      <c r="AI83">
        <v>53860306</v>
      </c>
      <c r="AJ83">
        <v>58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ROW(Source!A50)</f>
        <v>50</v>
      </c>
      <c r="B84">
        <v>53861105</v>
      </c>
      <c r="C84">
        <v>53860293</v>
      </c>
      <c r="D84">
        <v>29577905</v>
      </c>
      <c r="E84">
        <v>1</v>
      </c>
      <c r="F84">
        <v>1</v>
      </c>
      <c r="G84">
        <v>29506949</v>
      </c>
      <c r="H84">
        <v>3</v>
      </c>
      <c r="I84" t="s">
        <v>718</v>
      </c>
      <c r="J84" t="s">
        <v>719</v>
      </c>
      <c r="K84" t="s">
        <v>720</v>
      </c>
      <c r="L84">
        <v>1355</v>
      </c>
      <c r="N84">
        <v>1010</v>
      </c>
      <c r="O84" t="s">
        <v>129</v>
      </c>
      <c r="P84" t="s">
        <v>129</v>
      </c>
      <c r="Q84">
        <v>100</v>
      </c>
      <c r="X84">
        <v>0.81</v>
      </c>
      <c r="Y84">
        <v>235.26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0.81</v>
      </c>
      <c r="AH84">
        <v>2</v>
      </c>
      <c r="AI84">
        <v>53860307</v>
      </c>
      <c r="AJ84">
        <v>59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ROW(Source!A50)</f>
        <v>50</v>
      </c>
      <c r="B85">
        <v>53861106</v>
      </c>
      <c r="C85">
        <v>53860293</v>
      </c>
      <c r="D85">
        <v>29577906</v>
      </c>
      <c r="E85">
        <v>1</v>
      </c>
      <c r="F85">
        <v>1</v>
      </c>
      <c r="G85">
        <v>29506949</v>
      </c>
      <c r="H85">
        <v>3</v>
      </c>
      <c r="I85" t="s">
        <v>721</v>
      </c>
      <c r="J85" t="s">
        <v>722</v>
      </c>
      <c r="K85" t="s">
        <v>723</v>
      </c>
      <c r="L85">
        <v>1355</v>
      </c>
      <c r="N85">
        <v>1010</v>
      </c>
      <c r="O85" t="s">
        <v>129</v>
      </c>
      <c r="P85" t="s">
        <v>129</v>
      </c>
      <c r="Q85">
        <v>100</v>
      </c>
      <c r="X85">
        <v>1.83</v>
      </c>
      <c r="Y85">
        <v>318.01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1.83</v>
      </c>
      <c r="AH85">
        <v>2</v>
      </c>
      <c r="AI85">
        <v>53860308</v>
      </c>
      <c r="AJ85">
        <v>60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ROW(Source!A50)</f>
        <v>50</v>
      </c>
      <c r="B86">
        <v>53861107</v>
      </c>
      <c r="C86">
        <v>53860293</v>
      </c>
      <c r="D86">
        <v>29577916</v>
      </c>
      <c r="E86">
        <v>1</v>
      </c>
      <c r="F86">
        <v>1</v>
      </c>
      <c r="G86">
        <v>29506949</v>
      </c>
      <c r="H86">
        <v>3</v>
      </c>
      <c r="I86" t="s">
        <v>724</v>
      </c>
      <c r="J86" t="s">
        <v>725</v>
      </c>
      <c r="K86" t="s">
        <v>726</v>
      </c>
      <c r="L86">
        <v>1355</v>
      </c>
      <c r="N86">
        <v>1010</v>
      </c>
      <c r="O86" t="s">
        <v>129</v>
      </c>
      <c r="P86" t="s">
        <v>129</v>
      </c>
      <c r="Q86">
        <v>100</v>
      </c>
      <c r="X86">
        <v>0.81</v>
      </c>
      <c r="Y86">
        <v>114.54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0.81</v>
      </c>
      <c r="AH86">
        <v>2</v>
      </c>
      <c r="AI86">
        <v>53860309</v>
      </c>
      <c r="AJ86">
        <v>62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ROW(Source!A50)</f>
        <v>50</v>
      </c>
      <c r="B87">
        <v>53861108</v>
      </c>
      <c r="C87">
        <v>53860293</v>
      </c>
      <c r="D87">
        <v>29521994</v>
      </c>
      <c r="E87">
        <v>29506949</v>
      </c>
      <c r="F87">
        <v>1</v>
      </c>
      <c r="G87">
        <v>29506949</v>
      </c>
      <c r="H87">
        <v>3</v>
      </c>
      <c r="I87" t="s">
        <v>844</v>
      </c>
      <c r="J87" t="s">
        <v>3</v>
      </c>
      <c r="K87" t="s">
        <v>845</v>
      </c>
      <c r="L87">
        <v>1301</v>
      </c>
      <c r="N87">
        <v>1003</v>
      </c>
      <c r="O87" t="s">
        <v>125</v>
      </c>
      <c r="P87" t="s">
        <v>125</v>
      </c>
      <c r="Q87">
        <v>1</v>
      </c>
      <c r="X87">
        <v>135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 t="s">
        <v>3</v>
      </c>
      <c r="AG87">
        <v>135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ROW(Source!A50)</f>
        <v>50</v>
      </c>
      <c r="B88">
        <v>53861109</v>
      </c>
      <c r="C88">
        <v>53860293</v>
      </c>
      <c r="D88">
        <v>29521998</v>
      </c>
      <c r="E88">
        <v>29506949</v>
      </c>
      <c r="F88">
        <v>1</v>
      </c>
      <c r="G88">
        <v>29506949</v>
      </c>
      <c r="H88">
        <v>3</v>
      </c>
      <c r="I88" t="s">
        <v>846</v>
      </c>
      <c r="J88" t="s">
        <v>3</v>
      </c>
      <c r="K88" t="s">
        <v>847</v>
      </c>
      <c r="L88">
        <v>1354</v>
      </c>
      <c r="N88">
        <v>1010</v>
      </c>
      <c r="O88" t="s">
        <v>536</v>
      </c>
      <c r="P88" t="s">
        <v>536</v>
      </c>
      <c r="Q88">
        <v>1</v>
      </c>
      <c r="X88">
        <v>81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 t="s">
        <v>3</v>
      </c>
      <c r="AG88">
        <v>81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ROW(Source!A50)</f>
        <v>50</v>
      </c>
      <c r="B89">
        <v>53861110</v>
      </c>
      <c r="C89">
        <v>53860293</v>
      </c>
      <c r="D89">
        <v>29520023</v>
      </c>
      <c r="E89">
        <v>29506949</v>
      </c>
      <c r="F89">
        <v>1</v>
      </c>
      <c r="G89">
        <v>29506949</v>
      </c>
      <c r="H89">
        <v>3</v>
      </c>
      <c r="I89" t="s">
        <v>848</v>
      </c>
      <c r="J89" t="s">
        <v>3</v>
      </c>
      <c r="K89" t="s">
        <v>849</v>
      </c>
      <c r="L89">
        <v>1327</v>
      </c>
      <c r="N89">
        <v>1005</v>
      </c>
      <c r="O89" t="s">
        <v>100</v>
      </c>
      <c r="P89" t="s">
        <v>100</v>
      </c>
      <c r="Q89">
        <v>1</v>
      </c>
      <c r="X89">
        <v>111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3</v>
      </c>
      <c r="AG89">
        <v>111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ROW(Source!A54)</f>
        <v>54</v>
      </c>
      <c r="B90">
        <v>53861111</v>
      </c>
      <c r="C90">
        <v>53860343</v>
      </c>
      <c r="D90">
        <v>29506954</v>
      </c>
      <c r="E90">
        <v>29506949</v>
      </c>
      <c r="F90">
        <v>1</v>
      </c>
      <c r="G90">
        <v>29506949</v>
      </c>
      <c r="H90">
        <v>1</v>
      </c>
      <c r="I90" t="s">
        <v>638</v>
      </c>
      <c r="J90" t="s">
        <v>3</v>
      </c>
      <c r="K90" t="s">
        <v>639</v>
      </c>
      <c r="L90">
        <v>1191</v>
      </c>
      <c r="N90">
        <v>1013</v>
      </c>
      <c r="O90" t="s">
        <v>640</v>
      </c>
      <c r="P90" t="s">
        <v>640</v>
      </c>
      <c r="Q90">
        <v>1</v>
      </c>
      <c r="X90">
        <v>15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52</v>
      </c>
      <c r="AG90">
        <v>17.25</v>
      </c>
      <c r="AH90">
        <v>2</v>
      </c>
      <c r="AI90">
        <v>53860344</v>
      </c>
      <c r="AJ90">
        <v>63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ROW(Source!A54)</f>
        <v>54</v>
      </c>
      <c r="B91">
        <v>53861112</v>
      </c>
      <c r="C91">
        <v>53860343</v>
      </c>
      <c r="D91">
        <v>29580491</v>
      </c>
      <c r="E91">
        <v>1</v>
      </c>
      <c r="F91">
        <v>1</v>
      </c>
      <c r="G91">
        <v>29506949</v>
      </c>
      <c r="H91">
        <v>2</v>
      </c>
      <c r="I91" t="s">
        <v>650</v>
      </c>
      <c r="J91" t="s">
        <v>651</v>
      </c>
      <c r="K91" t="s">
        <v>652</v>
      </c>
      <c r="L91">
        <v>1368</v>
      </c>
      <c r="N91">
        <v>1011</v>
      </c>
      <c r="O91" t="s">
        <v>647</v>
      </c>
      <c r="P91" t="s">
        <v>647</v>
      </c>
      <c r="Q91">
        <v>1</v>
      </c>
      <c r="X91">
        <v>0.04</v>
      </c>
      <c r="Y91">
        <v>0</v>
      </c>
      <c r="Z91">
        <v>83.1</v>
      </c>
      <c r="AA91">
        <v>12.62</v>
      </c>
      <c r="AB91">
        <v>0</v>
      </c>
      <c r="AC91">
        <v>0</v>
      </c>
      <c r="AD91">
        <v>1</v>
      </c>
      <c r="AE91">
        <v>0</v>
      </c>
      <c r="AF91" t="s">
        <v>51</v>
      </c>
      <c r="AG91">
        <v>0.05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ROW(Source!A54)</f>
        <v>54</v>
      </c>
      <c r="B92">
        <v>53861113</v>
      </c>
      <c r="C92">
        <v>53860343</v>
      </c>
      <c r="D92">
        <v>29555595</v>
      </c>
      <c r="E92">
        <v>1</v>
      </c>
      <c r="F92">
        <v>1</v>
      </c>
      <c r="G92">
        <v>29506949</v>
      </c>
      <c r="H92">
        <v>3</v>
      </c>
      <c r="I92" t="s">
        <v>656</v>
      </c>
      <c r="J92" t="s">
        <v>657</v>
      </c>
      <c r="K92" t="s">
        <v>658</v>
      </c>
      <c r="L92">
        <v>1346</v>
      </c>
      <c r="N92">
        <v>1009</v>
      </c>
      <c r="O92" t="s">
        <v>58</v>
      </c>
      <c r="P92" t="s">
        <v>58</v>
      </c>
      <c r="Q92">
        <v>1</v>
      </c>
      <c r="X92">
        <v>0.15</v>
      </c>
      <c r="Y92">
        <v>1.61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0.15</v>
      </c>
      <c r="AH92">
        <v>3</v>
      </c>
      <c r="AI92">
        <v>-1</v>
      </c>
      <c r="AJ92" t="s">
        <v>3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ROW(Source!A54)</f>
        <v>54</v>
      </c>
      <c r="B93">
        <v>53861114</v>
      </c>
      <c r="C93">
        <v>53860343</v>
      </c>
      <c r="D93">
        <v>29556811</v>
      </c>
      <c r="E93">
        <v>1</v>
      </c>
      <c r="F93">
        <v>1</v>
      </c>
      <c r="G93">
        <v>29506949</v>
      </c>
      <c r="H93">
        <v>3</v>
      </c>
      <c r="I93" t="s">
        <v>659</v>
      </c>
      <c r="J93" t="s">
        <v>660</v>
      </c>
      <c r="K93" t="s">
        <v>661</v>
      </c>
      <c r="L93">
        <v>1327</v>
      </c>
      <c r="N93">
        <v>1005</v>
      </c>
      <c r="O93" t="s">
        <v>100</v>
      </c>
      <c r="P93" t="s">
        <v>100</v>
      </c>
      <c r="Q93">
        <v>1</v>
      </c>
      <c r="X93">
        <v>0.44</v>
      </c>
      <c r="Y93">
        <v>104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0.44</v>
      </c>
      <c r="AH93">
        <v>3</v>
      </c>
      <c r="AI93">
        <v>-1</v>
      </c>
      <c r="AJ93" t="s">
        <v>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ROW(Source!A54)</f>
        <v>54</v>
      </c>
      <c r="B94">
        <v>53861115</v>
      </c>
      <c r="C94">
        <v>53860343</v>
      </c>
      <c r="D94">
        <v>29524947</v>
      </c>
      <c r="E94">
        <v>29506949</v>
      </c>
      <c r="F94">
        <v>1</v>
      </c>
      <c r="G94">
        <v>29506949</v>
      </c>
      <c r="H94">
        <v>3</v>
      </c>
      <c r="I94" t="s">
        <v>868</v>
      </c>
      <c r="J94" t="s">
        <v>3</v>
      </c>
      <c r="K94" t="s">
        <v>869</v>
      </c>
      <c r="L94">
        <v>1348</v>
      </c>
      <c r="N94">
        <v>1009</v>
      </c>
      <c r="O94" t="s">
        <v>75</v>
      </c>
      <c r="P94" t="s">
        <v>75</v>
      </c>
      <c r="Q94">
        <v>1000</v>
      </c>
      <c r="X94">
        <v>3.2000000000000001E-2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 t="s">
        <v>3</v>
      </c>
      <c r="AG94">
        <v>3.2000000000000001E-2</v>
      </c>
      <c r="AH94">
        <v>3</v>
      </c>
      <c r="AI94">
        <v>-1</v>
      </c>
      <c r="AJ94" t="s">
        <v>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ROW(Source!A56)</f>
        <v>56</v>
      </c>
      <c r="B95">
        <v>53861116</v>
      </c>
      <c r="C95">
        <v>53860353</v>
      </c>
      <c r="D95">
        <v>29506954</v>
      </c>
      <c r="E95">
        <v>29506949</v>
      </c>
      <c r="F95">
        <v>1</v>
      </c>
      <c r="G95">
        <v>29506949</v>
      </c>
      <c r="H95">
        <v>1</v>
      </c>
      <c r="I95" t="s">
        <v>638</v>
      </c>
      <c r="J95" t="s">
        <v>3</v>
      </c>
      <c r="K95" t="s">
        <v>639</v>
      </c>
      <c r="L95">
        <v>1191</v>
      </c>
      <c r="N95">
        <v>1013</v>
      </c>
      <c r="O95" t="s">
        <v>640</v>
      </c>
      <c r="P95" t="s">
        <v>640</v>
      </c>
      <c r="Q95">
        <v>1</v>
      </c>
      <c r="X95">
        <v>39.979999999999997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52</v>
      </c>
      <c r="AG95">
        <v>45.97699999999999</v>
      </c>
      <c r="AH95">
        <v>2</v>
      </c>
      <c r="AI95">
        <v>53860354</v>
      </c>
      <c r="AJ95">
        <v>67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ROW(Source!A56)</f>
        <v>56</v>
      </c>
      <c r="B96">
        <v>53861117</v>
      </c>
      <c r="C96">
        <v>53860353</v>
      </c>
      <c r="D96">
        <v>29580491</v>
      </c>
      <c r="E96">
        <v>1</v>
      </c>
      <c r="F96">
        <v>1</v>
      </c>
      <c r="G96">
        <v>29506949</v>
      </c>
      <c r="H96">
        <v>2</v>
      </c>
      <c r="I96" t="s">
        <v>650</v>
      </c>
      <c r="J96" t="s">
        <v>651</v>
      </c>
      <c r="K96" t="s">
        <v>652</v>
      </c>
      <c r="L96">
        <v>1368</v>
      </c>
      <c r="N96">
        <v>1011</v>
      </c>
      <c r="O96" t="s">
        <v>647</v>
      </c>
      <c r="P96" t="s">
        <v>647</v>
      </c>
      <c r="Q96">
        <v>1</v>
      </c>
      <c r="X96">
        <v>0.1</v>
      </c>
      <c r="Y96">
        <v>0</v>
      </c>
      <c r="Z96">
        <v>83.1</v>
      </c>
      <c r="AA96">
        <v>12.62</v>
      </c>
      <c r="AB96">
        <v>0</v>
      </c>
      <c r="AC96">
        <v>0</v>
      </c>
      <c r="AD96">
        <v>1</v>
      </c>
      <c r="AE96">
        <v>0</v>
      </c>
      <c r="AF96" t="s">
        <v>51</v>
      </c>
      <c r="AG96">
        <v>0.125</v>
      </c>
      <c r="AH96">
        <v>2</v>
      </c>
      <c r="AI96">
        <v>53860355</v>
      </c>
      <c r="AJ96">
        <v>68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ROW(Source!A56)</f>
        <v>56</v>
      </c>
      <c r="B97">
        <v>53861118</v>
      </c>
      <c r="C97">
        <v>53860353</v>
      </c>
      <c r="D97">
        <v>29555595</v>
      </c>
      <c r="E97">
        <v>1</v>
      </c>
      <c r="F97">
        <v>1</v>
      </c>
      <c r="G97">
        <v>29506949</v>
      </c>
      <c r="H97">
        <v>3</v>
      </c>
      <c r="I97" t="s">
        <v>656</v>
      </c>
      <c r="J97" t="s">
        <v>657</v>
      </c>
      <c r="K97" t="s">
        <v>658</v>
      </c>
      <c r="L97">
        <v>1346</v>
      </c>
      <c r="N97">
        <v>1009</v>
      </c>
      <c r="O97" t="s">
        <v>58</v>
      </c>
      <c r="P97" t="s">
        <v>58</v>
      </c>
      <c r="Q97">
        <v>1</v>
      </c>
      <c r="X97">
        <v>0.31</v>
      </c>
      <c r="Y97">
        <v>1.61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0.31</v>
      </c>
      <c r="AH97">
        <v>2</v>
      </c>
      <c r="AI97">
        <v>53860356</v>
      </c>
      <c r="AJ97">
        <v>69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ROW(Source!A56)</f>
        <v>56</v>
      </c>
      <c r="B98">
        <v>53861119</v>
      </c>
      <c r="C98">
        <v>53860353</v>
      </c>
      <c r="D98">
        <v>29556811</v>
      </c>
      <c r="E98">
        <v>1</v>
      </c>
      <c r="F98">
        <v>1</v>
      </c>
      <c r="G98">
        <v>29506949</v>
      </c>
      <c r="H98">
        <v>3</v>
      </c>
      <c r="I98" t="s">
        <v>659</v>
      </c>
      <c r="J98" t="s">
        <v>660</v>
      </c>
      <c r="K98" t="s">
        <v>661</v>
      </c>
      <c r="L98">
        <v>1327</v>
      </c>
      <c r="N98">
        <v>1005</v>
      </c>
      <c r="O98" t="s">
        <v>100</v>
      </c>
      <c r="P98" t="s">
        <v>100</v>
      </c>
      <c r="Q98">
        <v>1</v>
      </c>
      <c r="X98">
        <v>0.84</v>
      </c>
      <c r="Y98">
        <v>104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0.84</v>
      </c>
      <c r="AH98">
        <v>2</v>
      </c>
      <c r="AI98">
        <v>53860357</v>
      </c>
      <c r="AJ98">
        <v>70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ROW(Source!A56)</f>
        <v>56</v>
      </c>
      <c r="B99">
        <v>53861120</v>
      </c>
      <c r="C99">
        <v>53860353</v>
      </c>
      <c r="D99">
        <v>29556824</v>
      </c>
      <c r="E99">
        <v>1</v>
      </c>
      <c r="F99">
        <v>1</v>
      </c>
      <c r="G99">
        <v>29506949</v>
      </c>
      <c r="H99">
        <v>3</v>
      </c>
      <c r="I99" t="s">
        <v>662</v>
      </c>
      <c r="J99" t="s">
        <v>663</v>
      </c>
      <c r="K99" t="s">
        <v>664</v>
      </c>
      <c r="L99">
        <v>1348</v>
      </c>
      <c r="N99">
        <v>1009</v>
      </c>
      <c r="O99" t="s">
        <v>75</v>
      </c>
      <c r="P99" t="s">
        <v>75</v>
      </c>
      <c r="Q99">
        <v>1000</v>
      </c>
      <c r="X99">
        <v>5.4999999999999997E-3</v>
      </c>
      <c r="Y99">
        <v>13953.6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5.4999999999999997E-3</v>
      </c>
      <c r="AH99">
        <v>2</v>
      </c>
      <c r="AI99">
        <v>53860358</v>
      </c>
      <c r="AJ99">
        <v>71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ROW(Source!A56)</f>
        <v>56</v>
      </c>
      <c r="B100">
        <v>53861121</v>
      </c>
      <c r="C100">
        <v>53860353</v>
      </c>
      <c r="D100">
        <v>39597517</v>
      </c>
      <c r="E100">
        <v>29506949</v>
      </c>
      <c r="F100">
        <v>1</v>
      </c>
      <c r="G100">
        <v>29506949</v>
      </c>
      <c r="H100">
        <v>3</v>
      </c>
      <c r="I100" t="s">
        <v>850</v>
      </c>
      <c r="J100" t="s">
        <v>3</v>
      </c>
      <c r="K100" t="s">
        <v>851</v>
      </c>
      <c r="L100">
        <v>1348</v>
      </c>
      <c r="N100">
        <v>1009</v>
      </c>
      <c r="O100" t="s">
        <v>75</v>
      </c>
      <c r="P100" t="s">
        <v>75</v>
      </c>
      <c r="Q100">
        <v>1000</v>
      </c>
      <c r="X100">
        <v>2.1999999999999999E-2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 t="s">
        <v>3</v>
      </c>
      <c r="AG100">
        <v>2.1999999999999999E-2</v>
      </c>
      <c r="AH100">
        <v>3</v>
      </c>
      <c r="AI100">
        <v>-1</v>
      </c>
      <c r="AJ100" t="s">
        <v>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ROW(Source!A56)</f>
        <v>56</v>
      </c>
      <c r="B101">
        <v>53861122</v>
      </c>
      <c r="C101">
        <v>53860353</v>
      </c>
      <c r="D101">
        <v>39597541</v>
      </c>
      <c r="E101">
        <v>29506949</v>
      </c>
      <c r="F101">
        <v>1</v>
      </c>
      <c r="G101">
        <v>29506949</v>
      </c>
      <c r="H101">
        <v>3</v>
      </c>
      <c r="I101" t="s">
        <v>857</v>
      </c>
      <c r="J101" t="s">
        <v>3</v>
      </c>
      <c r="K101" t="s">
        <v>870</v>
      </c>
      <c r="L101">
        <v>1346</v>
      </c>
      <c r="N101">
        <v>1009</v>
      </c>
      <c r="O101" t="s">
        <v>58</v>
      </c>
      <c r="P101" t="s">
        <v>58</v>
      </c>
      <c r="Q101">
        <v>1</v>
      </c>
      <c r="X101">
        <v>33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 t="s">
        <v>3</v>
      </c>
      <c r="AG101">
        <v>33</v>
      </c>
      <c r="AH101">
        <v>3</v>
      </c>
      <c r="AI101">
        <v>-1</v>
      </c>
      <c r="AJ101" t="s">
        <v>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ROW(Source!A59)</f>
        <v>59</v>
      </c>
      <c r="B102">
        <v>53861123</v>
      </c>
      <c r="C102">
        <v>53860370</v>
      </c>
      <c r="D102">
        <v>29506954</v>
      </c>
      <c r="E102">
        <v>29506949</v>
      </c>
      <c r="F102">
        <v>1</v>
      </c>
      <c r="G102">
        <v>29506949</v>
      </c>
      <c r="H102">
        <v>1</v>
      </c>
      <c r="I102" t="s">
        <v>638</v>
      </c>
      <c r="J102" t="s">
        <v>3</v>
      </c>
      <c r="K102" t="s">
        <v>639</v>
      </c>
      <c r="L102">
        <v>1191</v>
      </c>
      <c r="N102">
        <v>1013</v>
      </c>
      <c r="O102" t="s">
        <v>640</v>
      </c>
      <c r="P102" t="s">
        <v>640</v>
      </c>
      <c r="Q102">
        <v>1</v>
      </c>
      <c r="X102">
        <v>23.01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52</v>
      </c>
      <c r="AG102">
        <v>26.461500000000001</v>
      </c>
      <c r="AH102">
        <v>2</v>
      </c>
      <c r="AI102">
        <v>53860371</v>
      </c>
      <c r="AJ102">
        <v>74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ROW(Source!A59)</f>
        <v>59</v>
      </c>
      <c r="B103">
        <v>53861124</v>
      </c>
      <c r="C103">
        <v>53860370</v>
      </c>
      <c r="D103">
        <v>29580491</v>
      </c>
      <c r="E103">
        <v>1</v>
      </c>
      <c r="F103">
        <v>1</v>
      </c>
      <c r="G103">
        <v>29506949</v>
      </c>
      <c r="H103">
        <v>2</v>
      </c>
      <c r="I103" t="s">
        <v>650</v>
      </c>
      <c r="J103" t="s">
        <v>651</v>
      </c>
      <c r="K103" t="s">
        <v>652</v>
      </c>
      <c r="L103">
        <v>1368</v>
      </c>
      <c r="N103">
        <v>1011</v>
      </c>
      <c r="O103" t="s">
        <v>647</v>
      </c>
      <c r="P103" t="s">
        <v>647</v>
      </c>
      <c r="Q103">
        <v>1</v>
      </c>
      <c r="X103">
        <v>0.01</v>
      </c>
      <c r="Y103">
        <v>0</v>
      </c>
      <c r="Z103">
        <v>83.1</v>
      </c>
      <c r="AA103">
        <v>12.62</v>
      </c>
      <c r="AB103">
        <v>0</v>
      </c>
      <c r="AC103">
        <v>0</v>
      </c>
      <c r="AD103">
        <v>1</v>
      </c>
      <c r="AE103">
        <v>0</v>
      </c>
      <c r="AF103" t="s">
        <v>51</v>
      </c>
      <c r="AG103">
        <v>1.2500000000000001E-2</v>
      </c>
      <c r="AH103">
        <v>2</v>
      </c>
      <c r="AI103">
        <v>53860372</v>
      </c>
      <c r="AJ103">
        <v>75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ROW(Source!A59)</f>
        <v>59</v>
      </c>
      <c r="B104">
        <v>53861125</v>
      </c>
      <c r="C104">
        <v>53860370</v>
      </c>
      <c r="D104">
        <v>29525433</v>
      </c>
      <c r="E104">
        <v>29506949</v>
      </c>
      <c r="F104">
        <v>1</v>
      </c>
      <c r="G104">
        <v>29506949</v>
      </c>
      <c r="H104">
        <v>3</v>
      </c>
      <c r="I104" t="s">
        <v>871</v>
      </c>
      <c r="J104" t="s">
        <v>3</v>
      </c>
      <c r="K104" t="s">
        <v>872</v>
      </c>
      <c r="L104">
        <v>1296</v>
      </c>
      <c r="N104">
        <v>1002</v>
      </c>
      <c r="O104" t="s">
        <v>154</v>
      </c>
      <c r="P104" t="s">
        <v>154</v>
      </c>
      <c r="Q104">
        <v>1</v>
      </c>
      <c r="X104">
        <v>3.76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 t="s">
        <v>3</v>
      </c>
      <c r="AG104">
        <v>3.76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ROW(Source!A59)</f>
        <v>59</v>
      </c>
      <c r="B105">
        <v>53861126</v>
      </c>
      <c r="C105">
        <v>53860370</v>
      </c>
      <c r="D105">
        <v>29522411</v>
      </c>
      <c r="E105">
        <v>29506949</v>
      </c>
      <c r="F105">
        <v>1</v>
      </c>
      <c r="G105">
        <v>29506949</v>
      </c>
      <c r="H105">
        <v>3</v>
      </c>
      <c r="I105" t="s">
        <v>873</v>
      </c>
      <c r="J105" t="s">
        <v>3</v>
      </c>
      <c r="K105" t="s">
        <v>874</v>
      </c>
      <c r="L105">
        <v>1301</v>
      </c>
      <c r="N105">
        <v>1003</v>
      </c>
      <c r="O105" t="s">
        <v>125</v>
      </c>
      <c r="P105" t="s">
        <v>125</v>
      </c>
      <c r="Q105">
        <v>1</v>
      </c>
      <c r="X105">
        <v>105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 t="s">
        <v>3</v>
      </c>
      <c r="AG105">
        <v>105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ROW(Source!A98)</f>
        <v>98</v>
      </c>
      <c r="B106">
        <v>53861127</v>
      </c>
      <c r="C106">
        <v>53860438</v>
      </c>
      <c r="D106">
        <v>29506954</v>
      </c>
      <c r="E106">
        <v>29506949</v>
      </c>
      <c r="F106">
        <v>1</v>
      </c>
      <c r="G106">
        <v>29506949</v>
      </c>
      <c r="H106">
        <v>1</v>
      </c>
      <c r="I106" t="s">
        <v>638</v>
      </c>
      <c r="J106" t="s">
        <v>3</v>
      </c>
      <c r="K106" t="s">
        <v>639</v>
      </c>
      <c r="L106">
        <v>1191</v>
      </c>
      <c r="N106">
        <v>1013</v>
      </c>
      <c r="O106" t="s">
        <v>640</v>
      </c>
      <c r="P106" t="s">
        <v>640</v>
      </c>
      <c r="Q106">
        <v>1</v>
      </c>
      <c r="X106">
        <v>74.3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1</v>
      </c>
      <c r="AF106" t="s">
        <v>218</v>
      </c>
      <c r="AG106">
        <v>44.58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ROW(Source!A98)</f>
        <v>98</v>
      </c>
      <c r="B107">
        <v>53861128</v>
      </c>
      <c r="C107">
        <v>53860438</v>
      </c>
      <c r="D107">
        <v>29529074</v>
      </c>
      <c r="E107">
        <v>29506949</v>
      </c>
      <c r="F107">
        <v>1</v>
      </c>
      <c r="G107">
        <v>29506949</v>
      </c>
      <c r="H107">
        <v>3</v>
      </c>
      <c r="I107" t="s">
        <v>648</v>
      </c>
      <c r="J107" t="s">
        <v>3</v>
      </c>
      <c r="K107" t="s">
        <v>649</v>
      </c>
      <c r="L107">
        <v>1348</v>
      </c>
      <c r="N107">
        <v>1009</v>
      </c>
      <c r="O107" t="s">
        <v>75</v>
      </c>
      <c r="P107" t="s">
        <v>75</v>
      </c>
      <c r="Q107">
        <v>1000</v>
      </c>
      <c r="X107">
        <v>4.41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4.41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ROW(Source!A99)</f>
        <v>99</v>
      </c>
      <c r="B108">
        <v>53861129</v>
      </c>
      <c r="C108">
        <v>53860439</v>
      </c>
      <c r="D108">
        <v>29506954</v>
      </c>
      <c r="E108">
        <v>29506949</v>
      </c>
      <c r="F108">
        <v>1</v>
      </c>
      <c r="G108">
        <v>29506949</v>
      </c>
      <c r="H108">
        <v>1</v>
      </c>
      <c r="I108" t="s">
        <v>638</v>
      </c>
      <c r="J108" t="s">
        <v>3</v>
      </c>
      <c r="K108" t="s">
        <v>639</v>
      </c>
      <c r="L108">
        <v>1191</v>
      </c>
      <c r="N108">
        <v>1013</v>
      </c>
      <c r="O108" t="s">
        <v>640</v>
      </c>
      <c r="P108" t="s">
        <v>640</v>
      </c>
      <c r="Q108">
        <v>1</v>
      </c>
      <c r="X108">
        <v>49.1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1</v>
      </c>
      <c r="AF108" t="s">
        <v>3</v>
      </c>
      <c r="AG108">
        <v>49.1</v>
      </c>
      <c r="AH108">
        <v>2</v>
      </c>
      <c r="AI108">
        <v>53860440</v>
      </c>
      <c r="AJ108">
        <v>78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ROW(Source!A99)</f>
        <v>99</v>
      </c>
      <c r="B109">
        <v>53861130</v>
      </c>
      <c r="C109">
        <v>53860439</v>
      </c>
      <c r="D109">
        <v>29529074</v>
      </c>
      <c r="E109">
        <v>29506949</v>
      </c>
      <c r="F109">
        <v>1</v>
      </c>
      <c r="G109">
        <v>29506949</v>
      </c>
      <c r="H109">
        <v>3</v>
      </c>
      <c r="I109" t="s">
        <v>648</v>
      </c>
      <c r="J109" t="s">
        <v>3</v>
      </c>
      <c r="K109" t="s">
        <v>649</v>
      </c>
      <c r="L109">
        <v>1348</v>
      </c>
      <c r="N109">
        <v>1009</v>
      </c>
      <c r="O109" t="s">
        <v>75</v>
      </c>
      <c r="P109" t="s">
        <v>75</v>
      </c>
      <c r="Q109">
        <v>1000</v>
      </c>
      <c r="X109">
        <v>4.5999999999999996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4.5999999999999996</v>
      </c>
      <c r="AH109">
        <v>2</v>
      </c>
      <c r="AI109">
        <v>53860441</v>
      </c>
      <c r="AJ109">
        <v>79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ROW(Source!A100)</f>
        <v>100</v>
      </c>
      <c r="B110">
        <v>53861131</v>
      </c>
      <c r="C110">
        <v>53860444</v>
      </c>
      <c r="D110">
        <v>29506954</v>
      </c>
      <c r="E110">
        <v>29506949</v>
      </c>
      <c r="F110">
        <v>1</v>
      </c>
      <c r="G110">
        <v>29506949</v>
      </c>
      <c r="H110">
        <v>1</v>
      </c>
      <c r="I110" t="s">
        <v>638</v>
      </c>
      <c r="J110" t="s">
        <v>3</v>
      </c>
      <c r="K110" t="s">
        <v>639</v>
      </c>
      <c r="L110">
        <v>1191</v>
      </c>
      <c r="N110">
        <v>1013</v>
      </c>
      <c r="O110" t="s">
        <v>640</v>
      </c>
      <c r="P110" t="s">
        <v>640</v>
      </c>
      <c r="Q110">
        <v>1</v>
      </c>
      <c r="X110">
        <v>11.7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1</v>
      </c>
      <c r="AF110" t="s">
        <v>3</v>
      </c>
      <c r="AG110">
        <v>11.7</v>
      </c>
      <c r="AH110">
        <v>2</v>
      </c>
      <c r="AI110">
        <v>53860445</v>
      </c>
      <c r="AJ110">
        <v>80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ROW(Source!A100)</f>
        <v>100</v>
      </c>
      <c r="B111">
        <v>53861132</v>
      </c>
      <c r="C111">
        <v>53860444</v>
      </c>
      <c r="D111">
        <v>29529074</v>
      </c>
      <c r="E111">
        <v>29506949</v>
      </c>
      <c r="F111">
        <v>1</v>
      </c>
      <c r="G111">
        <v>29506949</v>
      </c>
      <c r="H111">
        <v>3</v>
      </c>
      <c r="I111" t="s">
        <v>648</v>
      </c>
      <c r="J111" t="s">
        <v>3</v>
      </c>
      <c r="K111" t="s">
        <v>649</v>
      </c>
      <c r="L111">
        <v>1348</v>
      </c>
      <c r="N111">
        <v>1009</v>
      </c>
      <c r="O111" t="s">
        <v>75</v>
      </c>
      <c r="P111" t="s">
        <v>75</v>
      </c>
      <c r="Q111">
        <v>1000</v>
      </c>
      <c r="X111">
        <v>0.03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0.03</v>
      </c>
      <c r="AH111">
        <v>2</v>
      </c>
      <c r="AI111">
        <v>53860446</v>
      </c>
      <c r="AJ111">
        <v>81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ROW(Source!A101)</f>
        <v>101</v>
      </c>
      <c r="B112">
        <v>53861133</v>
      </c>
      <c r="C112">
        <v>53860449</v>
      </c>
      <c r="D112">
        <v>29506954</v>
      </c>
      <c r="E112">
        <v>29506949</v>
      </c>
      <c r="F112">
        <v>1</v>
      </c>
      <c r="G112">
        <v>29506949</v>
      </c>
      <c r="H112">
        <v>1</v>
      </c>
      <c r="I112" t="s">
        <v>638</v>
      </c>
      <c r="J112" t="s">
        <v>3</v>
      </c>
      <c r="K112" t="s">
        <v>639</v>
      </c>
      <c r="L112">
        <v>1191</v>
      </c>
      <c r="N112">
        <v>1013</v>
      </c>
      <c r="O112" t="s">
        <v>640</v>
      </c>
      <c r="P112" t="s">
        <v>640</v>
      </c>
      <c r="Q112">
        <v>1</v>
      </c>
      <c r="X112">
        <v>147.65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1</v>
      </c>
      <c r="AF112" t="s">
        <v>36</v>
      </c>
      <c r="AG112">
        <v>118.12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ROW(Source!A101)</f>
        <v>101</v>
      </c>
      <c r="B113">
        <v>53861134</v>
      </c>
      <c r="C113">
        <v>53860449</v>
      </c>
      <c r="D113">
        <v>29580491</v>
      </c>
      <c r="E113">
        <v>1</v>
      </c>
      <c r="F113">
        <v>1</v>
      </c>
      <c r="G113">
        <v>29506949</v>
      </c>
      <c r="H113">
        <v>2</v>
      </c>
      <c r="I113" t="s">
        <v>650</v>
      </c>
      <c r="J113" t="s">
        <v>651</v>
      </c>
      <c r="K113" t="s">
        <v>652</v>
      </c>
      <c r="L113">
        <v>1368</v>
      </c>
      <c r="N113">
        <v>1011</v>
      </c>
      <c r="O113" t="s">
        <v>647</v>
      </c>
      <c r="P113" t="s">
        <v>647</v>
      </c>
      <c r="Q113">
        <v>1</v>
      </c>
      <c r="X113">
        <v>0.35</v>
      </c>
      <c r="Y113">
        <v>0</v>
      </c>
      <c r="Z113">
        <v>83.1</v>
      </c>
      <c r="AA113">
        <v>12.62</v>
      </c>
      <c r="AB113">
        <v>0</v>
      </c>
      <c r="AC113">
        <v>0</v>
      </c>
      <c r="AD113">
        <v>1</v>
      </c>
      <c r="AE113">
        <v>0</v>
      </c>
      <c r="AF113" t="s">
        <v>36</v>
      </c>
      <c r="AG113">
        <v>0.27999999999999997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ROW(Source!A101)</f>
        <v>101</v>
      </c>
      <c r="B114">
        <v>53861136</v>
      </c>
      <c r="C114">
        <v>53860449</v>
      </c>
      <c r="D114">
        <v>29580614</v>
      </c>
      <c r="E114">
        <v>1</v>
      </c>
      <c r="F114">
        <v>1</v>
      </c>
      <c r="G114">
        <v>29506949</v>
      </c>
      <c r="H114">
        <v>2</v>
      </c>
      <c r="I114" t="s">
        <v>682</v>
      </c>
      <c r="J114" t="s">
        <v>683</v>
      </c>
      <c r="K114" t="s">
        <v>684</v>
      </c>
      <c r="L114">
        <v>1368</v>
      </c>
      <c r="N114">
        <v>1011</v>
      </c>
      <c r="O114" t="s">
        <v>647</v>
      </c>
      <c r="P114" t="s">
        <v>647</v>
      </c>
      <c r="Q114">
        <v>1</v>
      </c>
      <c r="X114">
        <v>0.6</v>
      </c>
      <c r="Y114">
        <v>0</v>
      </c>
      <c r="Z114">
        <v>1.1100000000000001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36</v>
      </c>
      <c r="AG114">
        <v>0.48</v>
      </c>
      <c r="AH114">
        <v>3</v>
      </c>
      <c r="AI114">
        <v>-1</v>
      </c>
      <c r="AJ114" t="s">
        <v>3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ROW(Source!A101)</f>
        <v>101</v>
      </c>
      <c r="B115">
        <v>53861137</v>
      </c>
      <c r="C115">
        <v>53860449</v>
      </c>
      <c r="D115">
        <v>29580549</v>
      </c>
      <c r="E115">
        <v>1</v>
      </c>
      <c r="F115">
        <v>1</v>
      </c>
      <c r="G115">
        <v>29506949</v>
      </c>
      <c r="H115">
        <v>2</v>
      </c>
      <c r="I115" t="s">
        <v>685</v>
      </c>
      <c r="J115" t="s">
        <v>686</v>
      </c>
      <c r="K115" t="s">
        <v>687</v>
      </c>
      <c r="L115">
        <v>1368</v>
      </c>
      <c r="N115">
        <v>1011</v>
      </c>
      <c r="O115" t="s">
        <v>647</v>
      </c>
      <c r="P115" t="s">
        <v>647</v>
      </c>
      <c r="Q115">
        <v>1</v>
      </c>
      <c r="X115">
        <v>0.1</v>
      </c>
      <c r="Y115">
        <v>0</v>
      </c>
      <c r="Z115">
        <v>0.39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36</v>
      </c>
      <c r="AG115">
        <v>8.0000000000000016E-2</v>
      </c>
      <c r="AH115">
        <v>3</v>
      </c>
      <c r="AI115">
        <v>-1</v>
      </c>
      <c r="AJ115" t="s">
        <v>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ROW(Source!A101)</f>
        <v>101</v>
      </c>
      <c r="B116">
        <v>53861138</v>
      </c>
      <c r="C116">
        <v>53860449</v>
      </c>
      <c r="D116">
        <v>29580571</v>
      </c>
      <c r="E116">
        <v>1</v>
      </c>
      <c r="F116">
        <v>1</v>
      </c>
      <c r="G116">
        <v>29506949</v>
      </c>
      <c r="H116">
        <v>2</v>
      </c>
      <c r="I116" t="s">
        <v>644</v>
      </c>
      <c r="J116" t="s">
        <v>645</v>
      </c>
      <c r="K116" t="s">
        <v>646</v>
      </c>
      <c r="L116">
        <v>1368</v>
      </c>
      <c r="N116">
        <v>1011</v>
      </c>
      <c r="O116" t="s">
        <v>647</v>
      </c>
      <c r="P116" t="s">
        <v>647</v>
      </c>
      <c r="Q116">
        <v>1</v>
      </c>
      <c r="X116">
        <v>4.07</v>
      </c>
      <c r="Y116">
        <v>0</v>
      </c>
      <c r="Z116">
        <v>0.47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36</v>
      </c>
      <c r="AG116">
        <v>3.2560000000000002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ROW(Source!A101)</f>
        <v>101</v>
      </c>
      <c r="B117">
        <v>53861135</v>
      </c>
      <c r="C117">
        <v>53860449</v>
      </c>
      <c r="D117">
        <v>29579738</v>
      </c>
      <c r="E117">
        <v>1</v>
      </c>
      <c r="F117">
        <v>1</v>
      </c>
      <c r="G117">
        <v>29506949</v>
      </c>
      <c r="H117">
        <v>2</v>
      </c>
      <c r="I117" t="s">
        <v>665</v>
      </c>
      <c r="J117" t="s">
        <v>666</v>
      </c>
      <c r="K117" t="s">
        <v>667</v>
      </c>
      <c r="L117">
        <v>1368</v>
      </c>
      <c r="N117">
        <v>1011</v>
      </c>
      <c r="O117" t="s">
        <v>647</v>
      </c>
      <c r="P117" t="s">
        <v>647</v>
      </c>
      <c r="Q117">
        <v>1</v>
      </c>
      <c r="X117">
        <v>0.56000000000000005</v>
      </c>
      <c r="Y117">
        <v>0</v>
      </c>
      <c r="Z117">
        <v>179.17</v>
      </c>
      <c r="AA117">
        <v>16.93</v>
      </c>
      <c r="AB117">
        <v>0</v>
      </c>
      <c r="AC117">
        <v>0</v>
      </c>
      <c r="AD117">
        <v>1</v>
      </c>
      <c r="AE117">
        <v>0</v>
      </c>
      <c r="AF117" t="s">
        <v>36</v>
      </c>
      <c r="AG117">
        <v>0.44800000000000006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ROW(Source!A101)</f>
        <v>101</v>
      </c>
      <c r="B118">
        <v>53861139</v>
      </c>
      <c r="C118">
        <v>53860449</v>
      </c>
      <c r="D118">
        <v>29558353</v>
      </c>
      <c r="E118">
        <v>1</v>
      </c>
      <c r="F118">
        <v>1</v>
      </c>
      <c r="G118">
        <v>29506949</v>
      </c>
      <c r="H118">
        <v>3</v>
      </c>
      <c r="I118" t="s">
        <v>727</v>
      </c>
      <c r="J118" t="s">
        <v>728</v>
      </c>
      <c r="K118" t="s">
        <v>729</v>
      </c>
      <c r="L118">
        <v>1346</v>
      </c>
      <c r="N118">
        <v>1009</v>
      </c>
      <c r="O118" t="s">
        <v>58</v>
      </c>
      <c r="P118" t="s">
        <v>58</v>
      </c>
      <c r="Q118">
        <v>1</v>
      </c>
      <c r="X118">
        <v>20</v>
      </c>
      <c r="Y118">
        <v>17.309999999999999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35</v>
      </c>
      <c r="AG118">
        <v>0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ROW(Source!A101)</f>
        <v>101</v>
      </c>
      <c r="B119">
        <v>53861140</v>
      </c>
      <c r="C119">
        <v>53860449</v>
      </c>
      <c r="D119">
        <v>29558791</v>
      </c>
      <c r="E119">
        <v>1</v>
      </c>
      <c r="F119">
        <v>1</v>
      </c>
      <c r="G119">
        <v>29506949</v>
      </c>
      <c r="H119">
        <v>3</v>
      </c>
      <c r="I119" t="s">
        <v>691</v>
      </c>
      <c r="J119" t="s">
        <v>692</v>
      </c>
      <c r="K119" t="s">
        <v>693</v>
      </c>
      <c r="L119">
        <v>1301</v>
      </c>
      <c r="N119">
        <v>1003</v>
      </c>
      <c r="O119" t="s">
        <v>125</v>
      </c>
      <c r="P119" t="s">
        <v>125</v>
      </c>
      <c r="Q119">
        <v>1</v>
      </c>
      <c r="X119">
        <v>152</v>
      </c>
      <c r="Y119">
        <v>0.89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35</v>
      </c>
      <c r="AG119">
        <v>0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ROW(Source!A101)</f>
        <v>101</v>
      </c>
      <c r="B120">
        <v>53861141</v>
      </c>
      <c r="C120">
        <v>53860449</v>
      </c>
      <c r="D120">
        <v>29558792</v>
      </c>
      <c r="E120">
        <v>1</v>
      </c>
      <c r="F120">
        <v>1</v>
      </c>
      <c r="G120">
        <v>29506949</v>
      </c>
      <c r="H120">
        <v>3</v>
      </c>
      <c r="I120" t="s">
        <v>694</v>
      </c>
      <c r="J120" t="s">
        <v>695</v>
      </c>
      <c r="K120" t="s">
        <v>696</v>
      </c>
      <c r="L120">
        <v>1301</v>
      </c>
      <c r="N120">
        <v>1003</v>
      </c>
      <c r="O120" t="s">
        <v>125</v>
      </c>
      <c r="P120" t="s">
        <v>125</v>
      </c>
      <c r="Q120">
        <v>1</v>
      </c>
      <c r="X120">
        <v>177</v>
      </c>
      <c r="Y120">
        <v>1.62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35</v>
      </c>
      <c r="AG120">
        <v>0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ROW(Source!A101)</f>
        <v>101</v>
      </c>
      <c r="B121">
        <v>53861142</v>
      </c>
      <c r="C121">
        <v>53860449</v>
      </c>
      <c r="D121">
        <v>29558797</v>
      </c>
      <c r="E121">
        <v>1</v>
      </c>
      <c r="F121">
        <v>1</v>
      </c>
      <c r="G121">
        <v>29506949</v>
      </c>
      <c r="H121">
        <v>3</v>
      </c>
      <c r="I121" t="s">
        <v>700</v>
      </c>
      <c r="J121" t="s">
        <v>701</v>
      </c>
      <c r="K121" t="s">
        <v>702</v>
      </c>
      <c r="L121">
        <v>1355</v>
      </c>
      <c r="N121">
        <v>1010</v>
      </c>
      <c r="O121" t="s">
        <v>129</v>
      </c>
      <c r="P121" t="s">
        <v>129</v>
      </c>
      <c r="Q121">
        <v>100</v>
      </c>
      <c r="X121">
        <v>13.53</v>
      </c>
      <c r="Y121">
        <v>4.2699999999999996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35</v>
      </c>
      <c r="AG121">
        <v>0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ROW(Source!A101)</f>
        <v>101</v>
      </c>
      <c r="B122">
        <v>53861143</v>
      </c>
      <c r="C122">
        <v>53860449</v>
      </c>
      <c r="D122">
        <v>29558798</v>
      </c>
      <c r="E122">
        <v>1</v>
      </c>
      <c r="F122">
        <v>1</v>
      </c>
      <c r="G122">
        <v>29506949</v>
      </c>
      <c r="H122">
        <v>3</v>
      </c>
      <c r="I122" t="s">
        <v>733</v>
      </c>
      <c r="J122" t="s">
        <v>734</v>
      </c>
      <c r="K122" t="s">
        <v>735</v>
      </c>
      <c r="L122">
        <v>1355</v>
      </c>
      <c r="N122">
        <v>1010</v>
      </c>
      <c r="O122" t="s">
        <v>129</v>
      </c>
      <c r="P122" t="s">
        <v>129</v>
      </c>
      <c r="Q122">
        <v>100</v>
      </c>
      <c r="X122">
        <v>35.33</v>
      </c>
      <c r="Y122">
        <v>5.59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35</v>
      </c>
      <c r="AG122">
        <v>0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ROW(Source!A101)</f>
        <v>101</v>
      </c>
      <c r="B123">
        <v>53861144</v>
      </c>
      <c r="C123">
        <v>53860449</v>
      </c>
      <c r="D123">
        <v>29558800</v>
      </c>
      <c r="E123">
        <v>1</v>
      </c>
      <c r="F123">
        <v>1</v>
      </c>
      <c r="G123">
        <v>29506949</v>
      </c>
      <c r="H123">
        <v>3</v>
      </c>
      <c r="I123" t="s">
        <v>703</v>
      </c>
      <c r="J123" t="s">
        <v>704</v>
      </c>
      <c r="K123" t="s">
        <v>705</v>
      </c>
      <c r="L123">
        <v>1355</v>
      </c>
      <c r="N123">
        <v>1010</v>
      </c>
      <c r="O123" t="s">
        <v>129</v>
      </c>
      <c r="P123" t="s">
        <v>129</v>
      </c>
      <c r="Q123">
        <v>100</v>
      </c>
      <c r="X123">
        <v>1.69</v>
      </c>
      <c r="Y123">
        <v>43.81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35</v>
      </c>
      <c r="AG123">
        <v>0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ROW(Source!A101)</f>
        <v>101</v>
      </c>
      <c r="B124">
        <v>53861145</v>
      </c>
      <c r="C124">
        <v>53860449</v>
      </c>
      <c r="D124">
        <v>29574265</v>
      </c>
      <c r="E124">
        <v>1</v>
      </c>
      <c r="F124">
        <v>1</v>
      </c>
      <c r="G124">
        <v>29506949</v>
      </c>
      <c r="H124">
        <v>3</v>
      </c>
      <c r="I124" t="s">
        <v>706</v>
      </c>
      <c r="J124" t="s">
        <v>707</v>
      </c>
      <c r="K124" t="s">
        <v>708</v>
      </c>
      <c r="L124">
        <v>1346</v>
      </c>
      <c r="N124">
        <v>1009</v>
      </c>
      <c r="O124" t="s">
        <v>58</v>
      </c>
      <c r="P124" t="s">
        <v>58</v>
      </c>
      <c r="Q124">
        <v>1</v>
      </c>
      <c r="X124">
        <v>21</v>
      </c>
      <c r="Y124">
        <v>14.88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35</v>
      </c>
      <c r="AG124">
        <v>0</v>
      </c>
      <c r="AH124">
        <v>3</v>
      </c>
      <c r="AI124">
        <v>-1</v>
      </c>
      <c r="AJ124" t="s">
        <v>3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ROW(Source!A101)</f>
        <v>101</v>
      </c>
      <c r="B125">
        <v>53861146</v>
      </c>
      <c r="C125">
        <v>53860449</v>
      </c>
      <c r="D125">
        <v>29574151</v>
      </c>
      <c r="E125">
        <v>1</v>
      </c>
      <c r="F125">
        <v>1</v>
      </c>
      <c r="G125">
        <v>29506949</v>
      </c>
      <c r="H125">
        <v>3</v>
      </c>
      <c r="I125" t="s">
        <v>709</v>
      </c>
      <c r="J125" t="s">
        <v>710</v>
      </c>
      <c r="K125" t="s">
        <v>711</v>
      </c>
      <c r="L125">
        <v>1346</v>
      </c>
      <c r="N125">
        <v>1009</v>
      </c>
      <c r="O125" t="s">
        <v>58</v>
      </c>
      <c r="P125" t="s">
        <v>58</v>
      </c>
      <c r="Q125">
        <v>1</v>
      </c>
      <c r="X125">
        <v>149</v>
      </c>
      <c r="Y125">
        <v>5.19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35</v>
      </c>
      <c r="AG125">
        <v>0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ROW(Source!A101)</f>
        <v>101</v>
      </c>
      <c r="B126">
        <v>53861147</v>
      </c>
      <c r="C126">
        <v>53860449</v>
      </c>
      <c r="D126">
        <v>29522437</v>
      </c>
      <c r="E126">
        <v>29506949</v>
      </c>
      <c r="F126">
        <v>1</v>
      </c>
      <c r="G126">
        <v>29506949</v>
      </c>
      <c r="H126">
        <v>3</v>
      </c>
      <c r="I126" t="s">
        <v>844</v>
      </c>
      <c r="J126" t="s">
        <v>3</v>
      </c>
      <c r="K126" t="s">
        <v>875</v>
      </c>
      <c r="L126">
        <v>1301</v>
      </c>
      <c r="N126">
        <v>1003</v>
      </c>
      <c r="O126" t="s">
        <v>125</v>
      </c>
      <c r="P126" t="s">
        <v>125</v>
      </c>
      <c r="Q126">
        <v>1</v>
      </c>
      <c r="X126">
        <v>126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 t="s">
        <v>35</v>
      </c>
      <c r="AG126">
        <v>0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ROW(Source!A101)</f>
        <v>101</v>
      </c>
      <c r="B127">
        <v>53861148</v>
      </c>
      <c r="C127">
        <v>53860449</v>
      </c>
      <c r="D127">
        <v>29520019</v>
      </c>
      <c r="E127">
        <v>29506949</v>
      </c>
      <c r="F127">
        <v>1</v>
      </c>
      <c r="G127">
        <v>29506949</v>
      </c>
      <c r="H127">
        <v>3</v>
      </c>
      <c r="I127" t="s">
        <v>876</v>
      </c>
      <c r="J127" t="s">
        <v>3</v>
      </c>
      <c r="K127" t="s">
        <v>877</v>
      </c>
      <c r="L127">
        <v>1301</v>
      </c>
      <c r="N127">
        <v>1003</v>
      </c>
      <c r="O127" t="s">
        <v>125</v>
      </c>
      <c r="P127" t="s">
        <v>125</v>
      </c>
      <c r="Q127">
        <v>1</v>
      </c>
      <c r="X127">
        <v>204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 t="s">
        <v>35</v>
      </c>
      <c r="AG127">
        <v>0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ROW(Source!A101)</f>
        <v>101</v>
      </c>
      <c r="B128">
        <v>53861149</v>
      </c>
      <c r="C128">
        <v>53860449</v>
      </c>
      <c r="D128">
        <v>29520029</v>
      </c>
      <c r="E128">
        <v>29506949</v>
      </c>
      <c r="F128">
        <v>1</v>
      </c>
      <c r="G128">
        <v>29506949</v>
      </c>
      <c r="H128">
        <v>3</v>
      </c>
      <c r="I128" t="s">
        <v>876</v>
      </c>
      <c r="J128" t="s">
        <v>3</v>
      </c>
      <c r="K128" t="s">
        <v>878</v>
      </c>
      <c r="L128">
        <v>1301</v>
      </c>
      <c r="N128">
        <v>1003</v>
      </c>
      <c r="O128" t="s">
        <v>125</v>
      </c>
      <c r="P128" t="s">
        <v>125</v>
      </c>
      <c r="Q128">
        <v>1</v>
      </c>
      <c r="X128">
        <v>76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 t="s">
        <v>35</v>
      </c>
      <c r="AG128">
        <v>0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ROW(Source!A101)</f>
        <v>101</v>
      </c>
      <c r="B129">
        <v>53861150</v>
      </c>
      <c r="C129">
        <v>53860449</v>
      </c>
      <c r="D129">
        <v>29520023</v>
      </c>
      <c r="E129">
        <v>29506949</v>
      </c>
      <c r="F129">
        <v>1</v>
      </c>
      <c r="G129">
        <v>29506949</v>
      </c>
      <c r="H129">
        <v>3</v>
      </c>
      <c r="I129" t="s">
        <v>848</v>
      </c>
      <c r="J129" t="s">
        <v>3</v>
      </c>
      <c r="K129" t="s">
        <v>849</v>
      </c>
      <c r="L129">
        <v>1327</v>
      </c>
      <c r="N129">
        <v>1005</v>
      </c>
      <c r="O129" t="s">
        <v>100</v>
      </c>
      <c r="P129" t="s">
        <v>100</v>
      </c>
      <c r="Q129">
        <v>1</v>
      </c>
      <c r="X129">
        <v>421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 t="s">
        <v>35</v>
      </c>
      <c r="AG129">
        <v>0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ROW(Source!A101)</f>
        <v>101</v>
      </c>
      <c r="B130">
        <v>53861151</v>
      </c>
      <c r="C130">
        <v>53860449</v>
      </c>
      <c r="D130">
        <v>29520439</v>
      </c>
      <c r="E130">
        <v>29506949</v>
      </c>
      <c r="F130">
        <v>1</v>
      </c>
      <c r="G130">
        <v>29506949</v>
      </c>
      <c r="H130">
        <v>3</v>
      </c>
      <c r="I130" t="s">
        <v>879</v>
      </c>
      <c r="J130" t="s">
        <v>3</v>
      </c>
      <c r="K130" t="s">
        <v>880</v>
      </c>
      <c r="L130">
        <v>1327</v>
      </c>
      <c r="N130">
        <v>1005</v>
      </c>
      <c r="O130" t="s">
        <v>100</v>
      </c>
      <c r="P130" t="s">
        <v>100</v>
      </c>
      <c r="Q130">
        <v>1</v>
      </c>
      <c r="X130">
        <v>103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 t="s">
        <v>35</v>
      </c>
      <c r="AG130">
        <v>0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ROW(Source!A102)</f>
        <v>102</v>
      </c>
      <c r="B131">
        <v>53861152</v>
      </c>
      <c r="C131">
        <v>53860450</v>
      </c>
      <c r="D131">
        <v>29506954</v>
      </c>
      <c r="E131">
        <v>29506949</v>
      </c>
      <c r="F131">
        <v>1</v>
      </c>
      <c r="G131">
        <v>29506949</v>
      </c>
      <c r="H131">
        <v>1</v>
      </c>
      <c r="I131" t="s">
        <v>638</v>
      </c>
      <c r="J131" t="s">
        <v>3</v>
      </c>
      <c r="K131" t="s">
        <v>639</v>
      </c>
      <c r="L131">
        <v>1191</v>
      </c>
      <c r="N131">
        <v>1013</v>
      </c>
      <c r="O131" t="s">
        <v>640</v>
      </c>
      <c r="P131" t="s">
        <v>640</v>
      </c>
      <c r="Q131">
        <v>1</v>
      </c>
      <c r="X131">
        <v>91.1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36</v>
      </c>
      <c r="AG131">
        <v>72.88</v>
      </c>
      <c r="AH131">
        <v>2</v>
      </c>
      <c r="AI131">
        <v>53860451</v>
      </c>
      <c r="AJ131">
        <v>82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ROW(Source!A102)</f>
        <v>102</v>
      </c>
      <c r="B132">
        <v>53861153</v>
      </c>
      <c r="C132">
        <v>53860450</v>
      </c>
      <c r="D132">
        <v>29580491</v>
      </c>
      <c r="E132">
        <v>1</v>
      </c>
      <c r="F132">
        <v>1</v>
      </c>
      <c r="G132">
        <v>29506949</v>
      </c>
      <c r="H132">
        <v>2</v>
      </c>
      <c r="I132" t="s">
        <v>650</v>
      </c>
      <c r="J132" t="s">
        <v>651</v>
      </c>
      <c r="K132" t="s">
        <v>652</v>
      </c>
      <c r="L132">
        <v>1368</v>
      </c>
      <c r="N132">
        <v>1011</v>
      </c>
      <c r="O132" t="s">
        <v>647</v>
      </c>
      <c r="P132" t="s">
        <v>647</v>
      </c>
      <c r="Q132">
        <v>1</v>
      </c>
      <c r="X132">
        <v>0.32</v>
      </c>
      <c r="Y132">
        <v>0</v>
      </c>
      <c r="Z132">
        <v>83.1</v>
      </c>
      <c r="AA132">
        <v>12.62</v>
      </c>
      <c r="AB132">
        <v>0</v>
      </c>
      <c r="AC132">
        <v>0</v>
      </c>
      <c r="AD132">
        <v>1</v>
      </c>
      <c r="AE132">
        <v>0</v>
      </c>
      <c r="AF132" t="s">
        <v>36</v>
      </c>
      <c r="AG132">
        <v>0.25600000000000001</v>
      </c>
      <c r="AH132">
        <v>2</v>
      </c>
      <c r="AI132">
        <v>53860452</v>
      </c>
      <c r="AJ132">
        <v>83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ROW(Source!A102)</f>
        <v>102</v>
      </c>
      <c r="B133">
        <v>53861155</v>
      </c>
      <c r="C133">
        <v>53860450</v>
      </c>
      <c r="D133">
        <v>29580614</v>
      </c>
      <c r="E133">
        <v>1</v>
      </c>
      <c r="F133">
        <v>1</v>
      </c>
      <c r="G133">
        <v>29506949</v>
      </c>
      <c r="H133">
        <v>2</v>
      </c>
      <c r="I133" t="s">
        <v>682</v>
      </c>
      <c r="J133" t="s">
        <v>683</v>
      </c>
      <c r="K133" t="s">
        <v>684</v>
      </c>
      <c r="L133">
        <v>1368</v>
      </c>
      <c r="N133">
        <v>1011</v>
      </c>
      <c r="O133" t="s">
        <v>647</v>
      </c>
      <c r="P133" t="s">
        <v>647</v>
      </c>
      <c r="Q133">
        <v>1</v>
      </c>
      <c r="X133">
        <v>0.61</v>
      </c>
      <c r="Y133">
        <v>0</v>
      </c>
      <c r="Z133">
        <v>1.1100000000000001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36</v>
      </c>
      <c r="AG133">
        <v>0.48799999999999999</v>
      </c>
      <c r="AH133">
        <v>2</v>
      </c>
      <c r="AI133">
        <v>53860454</v>
      </c>
      <c r="AJ133">
        <v>84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ROW(Source!A102)</f>
        <v>102</v>
      </c>
      <c r="B134">
        <v>53861156</v>
      </c>
      <c r="C134">
        <v>53860450</v>
      </c>
      <c r="D134">
        <v>29580549</v>
      </c>
      <c r="E134">
        <v>1</v>
      </c>
      <c r="F134">
        <v>1</v>
      </c>
      <c r="G134">
        <v>29506949</v>
      </c>
      <c r="H134">
        <v>2</v>
      </c>
      <c r="I134" t="s">
        <v>685</v>
      </c>
      <c r="J134" t="s">
        <v>686</v>
      </c>
      <c r="K134" t="s">
        <v>687</v>
      </c>
      <c r="L134">
        <v>1368</v>
      </c>
      <c r="N134">
        <v>1011</v>
      </c>
      <c r="O134" t="s">
        <v>647</v>
      </c>
      <c r="P134" t="s">
        <v>647</v>
      </c>
      <c r="Q134">
        <v>1</v>
      </c>
      <c r="X134">
        <v>0.14000000000000001</v>
      </c>
      <c r="Y134">
        <v>0</v>
      </c>
      <c r="Z134">
        <v>0.39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36</v>
      </c>
      <c r="AG134">
        <v>0.11200000000000002</v>
      </c>
      <c r="AH134">
        <v>2</v>
      </c>
      <c r="AI134">
        <v>53860455</v>
      </c>
      <c r="AJ134">
        <v>85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ROW(Source!A102)</f>
        <v>102</v>
      </c>
      <c r="B135">
        <v>53861157</v>
      </c>
      <c r="C135">
        <v>53860450</v>
      </c>
      <c r="D135">
        <v>29580571</v>
      </c>
      <c r="E135">
        <v>1</v>
      </c>
      <c r="F135">
        <v>1</v>
      </c>
      <c r="G135">
        <v>29506949</v>
      </c>
      <c r="H135">
        <v>2</v>
      </c>
      <c r="I135" t="s">
        <v>644</v>
      </c>
      <c r="J135" t="s">
        <v>645</v>
      </c>
      <c r="K135" t="s">
        <v>646</v>
      </c>
      <c r="L135">
        <v>1368</v>
      </c>
      <c r="N135">
        <v>1011</v>
      </c>
      <c r="O135" t="s">
        <v>647</v>
      </c>
      <c r="P135" t="s">
        <v>647</v>
      </c>
      <c r="Q135">
        <v>1</v>
      </c>
      <c r="X135">
        <v>2</v>
      </c>
      <c r="Y135">
        <v>0</v>
      </c>
      <c r="Z135">
        <v>0.47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36</v>
      </c>
      <c r="AG135">
        <v>1.6</v>
      </c>
      <c r="AH135">
        <v>2</v>
      </c>
      <c r="AI135">
        <v>53860456</v>
      </c>
      <c r="AJ135">
        <v>86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ROW(Source!A102)</f>
        <v>102</v>
      </c>
      <c r="B136">
        <v>53861154</v>
      </c>
      <c r="C136">
        <v>53860450</v>
      </c>
      <c r="D136">
        <v>29579738</v>
      </c>
      <c r="E136">
        <v>1</v>
      </c>
      <c r="F136">
        <v>1</v>
      </c>
      <c r="G136">
        <v>29506949</v>
      </c>
      <c r="H136">
        <v>2</v>
      </c>
      <c r="I136" t="s">
        <v>665</v>
      </c>
      <c r="J136" t="s">
        <v>666</v>
      </c>
      <c r="K136" t="s">
        <v>667</v>
      </c>
      <c r="L136">
        <v>1368</v>
      </c>
      <c r="N136">
        <v>1011</v>
      </c>
      <c r="O136" t="s">
        <v>647</v>
      </c>
      <c r="P136" t="s">
        <v>647</v>
      </c>
      <c r="Q136">
        <v>1</v>
      </c>
      <c r="X136">
        <v>0.32</v>
      </c>
      <c r="Y136">
        <v>0</v>
      </c>
      <c r="Z136">
        <v>179.17</v>
      </c>
      <c r="AA136">
        <v>16.93</v>
      </c>
      <c r="AB136">
        <v>0</v>
      </c>
      <c r="AC136">
        <v>0</v>
      </c>
      <c r="AD136">
        <v>1</v>
      </c>
      <c r="AE136">
        <v>0</v>
      </c>
      <c r="AF136" t="s">
        <v>36</v>
      </c>
      <c r="AG136">
        <v>0.25600000000000001</v>
      </c>
      <c r="AH136">
        <v>2</v>
      </c>
      <c r="AI136">
        <v>53860453</v>
      </c>
      <c r="AJ136">
        <v>87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ROW(Source!A102)</f>
        <v>102</v>
      </c>
      <c r="B137">
        <v>53861158</v>
      </c>
      <c r="C137">
        <v>53860450</v>
      </c>
      <c r="D137">
        <v>29558353</v>
      </c>
      <c r="E137">
        <v>1</v>
      </c>
      <c r="F137">
        <v>1</v>
      </c>
      <c r="G137">
        <v>29506949</v>
      </c>
      <c r="H137">
        <v>3</v>
      </c>
      <c r="I137" t="s">
        <v>727</v>
      </c>
      <c r="J137" t="s">
        <v>728</v>
      </c>
      <c r="K137" t="s">
        <v>729</v>
      </c>
      <c r="L137">
        <v>1346</v>
      </c>
      <c r="N137">
        <v>1009</v>
      </c>
      <c r="O137" t="s">
        <v>58</v>
      </c>
      <c r="P137" t="s">
        <v>58</v>
      </c>
      <c r="Q137">
        <v>1</v>
      </c>
      <c r="X137">
        <v>10</v>
      </c>
      <c r="Y137">
        <v>17.309999999999999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35</v>
      </c>
      <c r="AG137">
        <v>0</v>
      </c>
      <c r="AH137">
        <v>2</v>
      </c>
      <c r="AI137">
        <v>53860457</v>
      </c>
      <c r="AJ137">
        <v>88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ROW(Source!A102)</f>
        <v>102</v>
      </c>
      <c r="B138">
        <v>53861159</v>
      </c>
      <c r="C138">
        <v>53860450</v>
      </c>
      <c r="D138">
        <v>29558790</v>
      </c>
      <c r="E138">
        <v>1</v>
      </c>
      <c r="F138">
        <v>1</v>
      </c>
      <c r="G138">
        <v>29506949</v>
      </c>
      <c r="H138">
        <v>3</v>
      </c>
      <c r="I138" t="s">
        <v>730</v>
      </c>
      <c r="J138" t="s">
        <v>731</v>
      </c>
      <c r="K138" t="s">
        <v>732</v>
      </c>
      <c r="L138">
        <v>1354</v>
      </c>
      <c r="N138">
        <v>1010</v>
      </c>
      <c r="O138" t="s">
        <v>536</v>
      </c>
      <c r="P138" t="s">
        <v>536</v>
      </c>
      <c r="Q138">
        <v>1</v>
      </c>
      <c r="X138">
        <v>7</v>
      </c>
      <c r="Y138">
        <v>15.36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35</v>
      </c>
      <c r="AG138">
        <v>0</v>
      </c>
      <c r="AH138">
        <v>2</v>
      </c>
      <c r="AI138">
        <v>53860458</v>
      </c>
      <c r="AJ138">
        <v>89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ROW(Source!A102)</f>
        <v>102</v>
      </c>
      <c r="B139">
        <v>53861160</v>
      </c>
      <c r="C139">
        <v>53860450</v>
      </c>
      <c r="D139">
        <v>29558791</v>
      </c>
      <c r="E139">
        <v>1</v>
      </c>
      <c r="F139">
        <v>1</v>
      </c>
      <c r="G139">
        <v>29506949</v>
      </c>
      <c r="H139">
        <v>3</v>
      </c>
      <c r="I139" t="s">
        <v>691</v>
      </c>
      <c r="J139" t="s">
        <v>692</v>
      </c>
      <c r="K139" t="s">
        <v>693</v>
      </c>
      <c r="L139">
        <v>1301</v>
      </c>
      <c r="N139">
        <v>1003</v>
      </c>
      <c r="O139" t="s">
        <v>125</v>
      </c>
      <c r="P139" t="s">
        <v>125</v>
      </c>
      <c r="Q139">
        <v>1</v>
      </c>
      <c r="X139">
        <v>120</v>
      </c>
      <c r="Y139">
        <v>0.89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35</v>
      </c>
      <c r="AG139">
        <v>0</v>
      </c>
      <c r="AH139">
        <v>2</v>
      </c>
      <c r="AI139">
        <v>53860459</v>
      </c>
      <c r="AJ139">
        <v>90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ROW(Source!A102)</f>
        <v>102</v>
      </c>
      <c r="B140">
        <v>53861161</v>
      </c>
      <c r="C140">
        <v>53860450</v>
      </c>
      <c r="D140">
        <v>29558792</v>
      </c>
      <c r="E140">
        <v>1</v>
      </c>
      <c r="F140">
        <v>1</v>
      </c>
      <c r="G140">
        <v>29506949</v>
      </c>
      <c r="H140">
        <v>3</v>
      </c>
      <c r="I140" t="s">
        <v>694</v>
      </c>
      <c r="J140" t="s">
        <v>695</v>
      </c>
      <c r="K140" t="s">
        <v>696</v>
      </c>
      <c r="L140">
        <v>1301</v>
      </c>
      <c r="N140">
        <v>1003</v>
      </c>
      <c r="O140" t="s">
        <v>125</v>
      </c>
      <c r="P140" t="s">
        <v>125</v>
      </c>
      <c r="Q140">
        <v>1</v>
      </c>
      <c r="X140">
        <v>82</v>
      </c>
      <c r="Y140">
        <v>1.62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35</v>
      </c>
      <c r="AG140">
        <v>0</v>
      </c>
      <c r="AH140">
        <v>2</v>
      </c>
      <c r="AI140">
        <v>53860460</v>
      </c>
      <c r="AJ140">
        <v>91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ROW(Source!A102)</f>
        <v>102</v>
      </c>
      <c r="B141">
        <v>53861162</v>
      </c>
      <c r="C141">
        <v>53860450</v>
      </c>
      <c r="D141">
        <v>29558797</v>
      </c>
      <c r="E141">
        <v>1</v>
      </c>
      <c r="F141">
        <v>1</v>
      </c>
      <c r="G141">
        <v>29506949</v>
      </c>
      <c r="H141">
        <v>3</v>
      </c>
      <c r="I141" t="s">
        <v>700</v>
      </c>
      <c r="J141" t="s">
        <v>701</v>
      </c>
      <c r="K141" t="s">
        <v>702</v>
      </c>
      <c r="L141">
        <v>1355</v>
      </c>
      <c r="N141">
        <v>1010</v>
      </c>
      <c r="O141" t="s">
        <v>129</v>
      </c>
      <c r="P141" t="s">
        <v>129</v>
      </c>
      <c r="Q141">
        <v>100</v>
      </c>
      <c r="X141">
        <v>7.35</v>
      </c>
      <c r="Y141">
        <v>4.2699999999999996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35</v>
      </c>
      <c r="AG141">
        <v>0</v>
      </c>
      <c r="AH141">
        <v>2</v>
      </c>
      <c r="AI141">
        <v>53860461</v>
      </c>
      <c r="AJ141">
        <v>92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ROW(Source!A102)</f>
        <v>102</v>
      </c>
      <c r="B142">
        <v>53861163</v>
      </c>
      <c r="C142">
        <v>53860450</v>
      </c>
      <c r="D142">
        <v>29558798</v>
      </c>
      <c r="E142">
        <v>1</v>
      </c>
      <c r="F142">
        <v>1</v>
      </c>
      <c r="G142">
        <v>29506949</v>
      </c>
      <c r="H142">
        <v>3</v>
      </c>
      <c r="I142" t="s">
        <v>733</v>
      </c>
      <c r="J142" t="s">
        <v>734</v>
      </c>
      <c r="K142" t="s">
        <v>735</v>
      </c>
      <c r="L142">
        <v>1355</v>
      </c>
      <c r="N142">
        <v>1010</v>
      </c>
      <c r="O142" t="s">
        <v>129</v>
      </c>
      <c r="P142" t="s">
        <v>129</v>
      </c>
      <c r="Q142">
        <v>100</v>
      </c>
      <c r="X142">
        <v>18.55</v>
      </c>
      <c r="Y142">
        <v>5.59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35</v>
      </c>
      <c r="AG142">
        <v>0</v>
      </c>
      <c r="AH142">
        <v>2</v>
      </c>
      <c r="AI142">
        <v>53860462</v>
      </c>
      <c r="AJ142">
        <v>93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ROW(Source!A102)</f>
        <v>102</v>
      </c>
      <c r="B143">
        <v>53861164</v>
      </c>
      <c r="C143">
        <v>53860450</v>
      </c>
      <c r="D143">
        <v>29558800</v>
      </c>
      <c r="E143">
        <v>1</v>
      </c>
      <c r="F143">
        <v>1</v>
      </c>
      <c r="G143">
        <v>29506949</v>
      </c>
      <c r="H143">
        <v>3</v>
      </c>
      <c r="I143" t="s">
        <v>703</v>
      </c>
      <c r="J143" t="s">
        <v>704</v>
      </c>
      <c r="K143" t="s">
        <v>705</v>
      </c>
      <c r="L143">
        <v>1355</v>
      </c>
      <c r="N143">
        <v>1010</v>
      </c>
      <c r="O143" t="s">
        <v>129</v>
      </c>
      <c r="P143" t="s">
        <v>129</v>
      </c>
      <c r="Q143">
        <v>100</v>
      </c>
      <c r="X143">
        <v>1.53</v>
      </c>
      <c r="Y143">
        <v>43.81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35</v>
      </c>
      <c r="AG143">
        <v>0</v>
      </c>
      <c r="AH143">
        <v>2</v>
      </c>
      <c r="AI143">
        <v>53860463</v>
      </c>
      <c r="AJ143">
        <v>94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ROW(Source!A102)</f>
        <v>102</v>
      </c>
      <c r="B144">
        <v>53861165</v>
      </c>
      <c r="C144">
        <v>53860450</v>
      </c>
      <c r="D144">
        <v>29574265</v>
      </c>
      <c r="E144">
        <v>1</v>
      </c>
      <c r="F144">
        <v>1</v>
      </c>
      <c r="G144">
        <v>29506949</v>
      </c>
      <c r="H144">
        <v>3</v>
      </c>
      <c r="I144" t="s">
        <v>706</v>
      </c>
      <c r="J144" t="s">
        <v>707</v>
      </c>
      <c r="K144" t="s">
        <v>708</v>
      </c>
      <c r="L144">
        <v>1346</v>
      </c>
      <c r="N144">
        <v>1009</v>
      </c>
      <c r="O144" t="s">
        <v>58</v>
      </c>
      <c r="P144" t="s">
        <v>58</v>
      </c>
      <c r="Q144">
        <v>1</v>
      </c>
      <c r="X144">
        <v>9</v>
      </c>
      <c r="Y144">
        <v>14.88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35</v>
      </c>
      <c r="AG144">
        <v>0</v>
      </c>
      <c r="AH144">
        <v>2</v>
      </c>
      <c r="AI144">
        <v>53860464</v>
      </c>
      <c r="AJ144">
        <v>95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ROW(Source!A102)</f>
        <v>102</v>
      </c>
      <c r="B145">
        <v>53861166</v>
      </c>
      <c r="C145">
        <v>53860450</v>
      </c>
      <c r="D145">
        <v>29574266</v>
      </c>
      <c r="E145">
        <v>1</v>
      </c>
      <c r="F145">
        <v>1</v>
      </c>
      <c r="G145">
        <v>29506949</v>
      </c>
      <c r="H145">
        <v>3</v>
      </c>
      <c r="I145" t="s">
        <v>736</v>
      </c>
      <c r="J145" t="s">
        <v>737</v>
      </c>
      <c r="K145" t="s">
        <v>738</v>
      </c>
      <c r="L145">
        <v>1346</v>
      </c>
      <c r="N145">
        <v>1009</v>
      </c>
      <c r="O145" t="s">
        <v>58</v>
      </c>
      <c r="P145" t="s">
        <v>58</v>
      </c>
      <c r="Q145">
        <v>1</v>
      </c>
      <c r="X145">
        <v>119</v>
      </c>
      <c r="Y145">
        <v>4.55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35</v>
      </c>
      <c r="AG145">
        <v>0</v>
      </c>
      <c r="AH145">
        <v>2</v>
      </c>
      <c r="AI145">
        <v>53860465</v>
      </c>
      <c r="AJ145">
        <v>96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ROW(Source!A102)</f>
        <v>102</v>
      </c>
      <c r="B146">
        <v>53861167</v>
      </c>
      <c r="C146">
        <v>53860450</v>
      </c>
      <c r="D146">
        <v>29574151</v>
      </c>
      <c r="E146">
        <v>1</v>
      </c>
      <c r="F146">
        <v>1</v>
      </c>
      <c r="G146">
        <v>29506949</v>
      </c>
      <c r="H146">
        <v>3</v>
      </c>
      <c r="I146" t="s">
        <v>709</v>
      </c>
      <c r="J146" t="s">
        <v>710</v>
      </c>
      <c r="K146" t="s">
        <v>711</v>
      </c>
      <c r="L146">
        <v>1346</v>
      </c>
      <c r="N146">
        <v>1009</v>
      </c>
      <c r="O146" t="s">
        <v>58</v>
      </c>
      <c r="P146" t="s">
        <v>58</v>
      </c>
      <c r="Q146">
        <v>1</v>
      </c>
      <c r="X146">
        <v>85</v>
      </c>
      <c r="Y146">
        <v>5.19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35</v>
      </c>
      <c r="AG146">
        <v>0</v>
      </c>
      <c r="AH146">
        <v>2</v>
      </c>
      <c r="AI146">
        <v>53860466</v>
      </c>
      <c r="AJ146">
        <v>97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ROW(Source!A102)</f>
        <v>102</v>
      </c>
      <c r="B147">
        <v>53861168</v>
      </c>
      <c r="C147">
        <v>53860450</v>
      </c>
      <c r="D147">
        <v>29577894</v>
      </c>
      <c r="E147">
        <v>1</v>
      </c>
      <c r="F147">
        <v>1</v>
      </c>
      <c r="G147">
        <v>29506949</v>
      </c>
      <c r="H147">
        <v>3</v>
      </c>
      <c r="I147" t="s">
        <v>739</v>
      </c>
      <c r="J147" t="s">
        <v>740</v>
      </c>
      <c r="K147" t="s">
        <v>741</v>
      </c>
      <c r="L147">
        <v>1348</v>
      </c>
      <c r="N147">
        <v>1009</v>
      </c>
      <c r="O147" t="s">
        <v>75</v>
      </c>
      <c r="P147" t="s">
        <v>75</v>
      </c>
      <c r="Q147">
        <v>1000</v>
      </c>
      <c r="X147">
        <v>1.1039999999999999E-2</v>
      </c>
      <c r="Y147">
        <v>60883.49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35</v>
      </c>
      <c r="AG147">
        <v>0</v>
      </c>
      <c r="AH147">
        <v>2</v>
      </c>
      <c r="AI147">
        <v>53860467</v>
      </c>
      <c r="AJ147">
        <v>98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ROW(Source!A102)</f>
        <v>102</v>
      </c>
      <c r="B148">
        <v>53861169</v>
      </c>
      <c r="C148">
        <v>53860450</v>
      </c>
      <c r="D148">
        <v>29522437</v>
      </c>
      <c r="E148">
        <v>29506949</v>
      </c>
      <c r="F148">
        <v>1</v>
      </c>
      <c r="G148">
        <v>29506949</v>
      </c>
      <c r="H148">
        <v>3</v>
      </c>
      <c r="I148" t="s">
        <v>844</v>
      </c>
      <c r="J148" t="s">
        <v>3</v>
      </c>
      <c r="K148" t="s">
        <v>875</v>
      </c>
      <c r="L148">
        <v>1301</v>
      </c>
      <c r="N148">
        <v>1003</v>
      </c>
      <c r="O148" t="s">
        <v>125</v>
      </c>
      <c r="P148" t="s">
        <v>125</v>
      </c>
      <c r="Q148">
        <v>1</v>
      </c>
      <c r="X148">
        <v>116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 t="s">
        <v>35</v>
      </c>
      <c r="AG148">
        <v>0</v>
      </c>
      <c r="AH148">
        <v>3</v>
      </c>
      <c r="AI148">
        <v>-1</v>
      </c>
      <c r="AJ148" t="s">
        <v>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ROW(Source!A102)</f>
        <v>102</v>
      </c>
      <c r="B149">
        <v>53861170</v>
      </c>
      <c r="C149">
        <v>53860450</v>
      </c>
      <c r="D149">
        <v>29520029</v>
      </c>
      <c r="E149">
        <v>29506949</v>
      </c>
      <c r="F149">
        <v>1</v>
      </c>
      <c r="G149">
        <v>29506949</v>
      </c>
      <c r="H149">
        <v>3</v>
      </c>
      <c r="I149" t="s">
        <v>876</v>
      </c>
      <c r="J149" t="s">
        <v>3</v>
      </c>
      <c r="K149" t="s">
        <v>878</v>
      </c>
      <c r="L149">
        <v>1301</v>
      </c>
      <c r="N149">
        <v>1003</v>
      </c>
      <c r="O149" t="s">
        <v>125</v>
      </c>
      <c r="P149" t="s">
        <v>125</v>
      </c>
      <c r="Q149">
        <v>1</v>
      </c>
      <c r="X149">
        <v>88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 t="s">
        <v>35</v>
      </c>
      <c r="AG149">
        <v>0</v>
      </c>
      <c r="AH149">
        <v>3</v>
      </c>
      <c r="AI149">
        <v>-1</v>
      </c>
      <c r="AJ149" t="s">
        <v>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ROW(Source!A102)</f>
        <v>102</v>
      </c>
      <c r="B150">
        <v>53861171</v>
      </c>
      <c r="C150">
        <v>53860450</v>
      </c>
      <c r="D150">
        <v>29521996</v>
      </c>
      <c r="E150">
        <v>29506949</v>
      </c>
      <c r="F150">
        <v>1</v>
      </c>
      <c r="G150">
        <v>29506949</v>
      </c>
      <c r="H150">
        <v>3</v>
      </c>
      <c r="I150" t="s">
        <v>876</v>
      </c>
      <c r="J150" t="s">
        <v>3</v>
      </c>
      <c r="K150" t="s">
        <v>881</v>
      </c>
      <c r="L150">
        <v>1301</v>
      </c>
      <c r="N150">
        <v>1003</v>
      </c>
      <c r="O150" t="s">
        <v>125</v>
      </c>
      <c r="P150" t="s">
        <v>125</v>
      </c>
      <c r="Q150">
        <v>1</v>
      </c>
      <c r="X150">
        <v>225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 t="s">
        <v>35</v>
      </c>
      <c r="AG150">
        <v>0</v>
      </c>
      <c r="AH150">
        <v>3</v>
      </c>
      <c r="AI150">
        <v>-1</v>
      </c>
      <c r="AJ150" t="s">
        <v>3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ROW(Source!A102)</f>
        <v>102</v>
      </c>
      <c r="B151">
        <v>53861172</v>
      </c>
      <c r="C151">
        <v>53860450</v>
      </c>
      <c r="D151">
        <v>29520023</v>
      </c>
      <c r="E151">
        <v>29506949</v>
      </c>
      <c r="F151">
        <v>1</v>
      </c>
      <c r="G151">
        <v>29506949</v>
      </c>
      <c r="H151">
        <v>3</v>
      </c>
      <c r="I151" t="s">
        <v>848</v>
      </c>
      <c r="J151" t="s">
        <v>3</v>
      </c>
      <c r="K151" t="s">
        <v>849</v>
      </c>
      <c r="L151">
        <v>1327</v>
      </c>
      <c r="N151">
        <v>1005</v>
      </c>
      <c r="O151" t="s">
        <v>100</v>
      </c>
      <c r="P151" t="s">
        <v>100</v>
      </c>
      <c r="Q151">
        <v>1</v>
      </c>
      <c r="X151">
        <v>212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 t="s">
        <v>35</v>
      </c>
      <c r="AG151">
        <v>0</v>
      </c>
      <c r="AH151">
        <v>3</v>
      </c>
      <c r="AI151">
        <v>-1</v>
      </c>
      <c r="AJ151" t="s">
        <v>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ROW(Source!A103)</f>
        <v>103</v>
      </c>
      <c r="B152">
        <v>53861173</v>
      </c>
      <c r="C152">
        <v>53860489</v>
      </c>
      <c r="D152">
        <v>29506954</v>
      </c>
      <c r="E152">
        <v>29506949</v>
      </c>
      <c r="F152">
        <v>1</v>
      </c>
      <c r="G152">
        <v>29506949</v>
      </c>
      <c r="H152">
        <v>1</v>
      </c>
      <c r="I152" t="s">
        <v>638</v>
      </c>
      <c r="J152" t="s">
        <v>3</v>
      </c>
      <c r="K152" t="s">
        <v>639</v>
      </c>
      <c r="L152">
        <v>1191</v>
      </c>
      <c r="N152">
        <v>1013</v>
      </c>
      <c r="O152" t="s">
        <v>640</v>
      </c>
      <c r="P152" t="s">
        <v>640</v>
      </c>
      <c r="Q152">
        <v>1</v>
      </c>
      <c r="X152">
        <v>15.88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1</v>
      </c>
      <c r="AF152" t="s">
        <v>3</v>
      </c>
      <c r="AG152">
        <v>15.88</v>
      </c>
      <c r="AH152">
        <v>2</v>
      </c>
      <c r="AI152">
        <v>53860490</v>
      </c>
      <c r="AJ152">
        <v>99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ROW(Source!A103)</f>
        <v>103</v>
      </c>
      <c r="B153">
        <v>53861174</v>
      </c>
      <c r="C153">
        <v>53860489</v>
      </c>
      <c r="D153">
        <v>29529074</v>
      </c>
      <c r="E153">
        <v>29506949</v>
      </c>
      <c r="F153">
        <v>1</v>
      </c>
      <c r="G153">
        <v>29506949</v>
      </c>
      <c r="H153">
        <v>3</v>
      </c>
      <c r="I153" t="s">
        <v>648</v>
      </c>
      <c r="J153" t="s">
        <v>3</v>
      </c>
      <c r="K153" t="s">
        <v>649</v>
      </c>
      <c r="L153">
        <v>1348</v>
      </c>
      <c r="N153">
        <v>1009</v>
      </c>
      <c r="O153" t="s">
        <v>75</v>
      </c>
      <c r="P153" t="s">
        <v>75</v>
      </c>
      <c r="Q153">
        <v>1000</v>
      </c>
      <c r="X153">
        <v>2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2</v>
      </c>
      <c r="AH153">
        <v>2</v>
      </c>
      <c r="AI153">
        <v>53860491</v>
      </c>
      <c r="AJ153">
        <v>100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ROW(Source!A105)</f>
        <v>105</v>
      </c>
      <c r="B154">
        <v>53861175</v>
      </c>
      <c r="C154">
        <v>53860495</v>
      </c>
      <c r="D154">
        <v>29506954</v>
      </c>
      <c r="E154">
        <v>29506949</v>
      </c>
      <c r="F154">
        <v>1</v>
      </c>
      <c r="G154">
        <v>29506949</v>
      </c>
      <c r="H154">
        <v>1</v>
      </c>
      <c r="I154" t="s">
        <v>638</v>
      </c>
      <c r="J154" t="s">
        <v>3</v>
      </c>
      <c r="K154" t="s">
        <v>639</v>
      </c>
      <c r="L154">
        <v>1191</v>
      </c>
      <c r="N154">
        <v>1013</v>
      </c>
      <c r="O154" t="s">
        <v>640</v>
      </c>
      <c r="P154" t="s">
        <v>640</v>
      </c>
      <c r="Q154">
        <v>1</v>
      </c>
      <c r="X154">
        <v>4.6500000000000004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1</v>
      </c>
      <c r="AF154" t="s">
        <v>52</v>
      </c>
      <c r="AG154">
        <v>5.3475000000000001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ROW(Source!A105)</f>
        <v>105</v>
      </c>
      <c r="B155">
        <v>53861176</v>
      </c>
      <c r="C155">
        <v>53860495</v>
      </c>
      <c r="D155">
        <v>29580491</v>
      </c>
      <c r="E155">
        <v>1</v>
      </c>
      <c r="F155">
        <v>1</v>
      </c>
      <c r="G155">
        <v>29506949</v>
      </c>
      <c r="H155">
        <v>2</v>
      </c>
      <c r="I155" t="s">
        <v>650</v>
      </c>
      <c r="J155" t="s">
        <v>651</v>
      </c>
      <c r="K155" t="s">
        <v>652</v>
      </c>
      <c r="L155">
        <v>1368</v>
      </c>
      <c r="N155">
        <v>1011</v>
      </c>
      <c r="O155" t="s">
        <v>647</v>
      </c>
      <c r="P155" t="s">
        <v>647</v>
      </c>
      <c r="Q155">
        <v>1</v>
      </c>
      <c r="X155">
        <v>0.01</v>
      </c>
      <c r="Y155">
        <v>0</v>
      </c>
      <c r="Z155">
        <v>83.1</v>
      </c>
      <c r="AA155">
        <v>12.62</v>
      </c>
      <c r="AB155">
        <v>0</v>
      </c>
      <c r="AC155">
        <v>0</v>
      </c>
      <c r="AD155">
        <v>1</v>
      </c>
      <c r="AE155">
        <v>0</v>
      </c>
      <c r="AF155" t="s">
        <v>51</v>
      </c>
      <c r="AG155">
        <v>1.2500000000000001E-2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ROW(Source!A105)</f>
        <v>105</v>
      </c>
      <c r="B156">
        <v>53861177</v>
      </c>
      <c r="C156">
        <v>53860495</v>
      </c>
      <c r="D156">
        <v>29580030</v>
      </c>
      <c r="E156">
        <v>1</v>
      </c>
      <c r="F156">
        <v>1</v>
      </c>
      <c r="G156">
        <v>29506949</v>
      </c>
      <c r="H156">
        <v>2</v>
      </c>
      <c r="I156" t="s">
        <v>653</v>
      </c>
      <c r="J156" t="s">
        <v>654</v>
      </c>
      <c r="K156" t="s">
        <v>655</v>
      </c>
      <c r="L156">
        <v>1368</v>
      </c>
      <c r="N156">
        <v>1011</v>
      </c>
      <c r="O156" t="s">
        <v>647</v>
      </c>
      <c r="P156" t="s">
        <v>647</v>
      </c>
      <c r="Q156">
        <v>1</v>
      </c>
      <c r="X156">
        <v>0.03</v>
      </c>
      <c r="Y156">
        <v>0</v>
      </c>
      <c r="Z156">
        <v>0.17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51</v>
      </c>
      <c r="AG156">
        <v>3.7499999999999999E-2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ROW(Source!A105)</f>
        <v>105</v>
      </c>
      <c r="B157">
        <v>53861178</v>
      </c>
      <c r="C157">
        <v>53860495</v>
      </c>
      <c r="D157">
        <v>29522565</v>
      </c>
      <c r="E157">
        <v>29506949</v>
      </c>
      <c r="F157">
        <v>1</v>
      </c>
      <c r="G157">
        <v>29506949</v>
      </c>
      <c r="H157">
        <v>3</v>
      </c>
      <c r="I157" t="s">
        <v>850</v>
      </c>
      <c r="J157" t="s">
        <v>3</v>
      </c>
      <c r="K157" t="s">
        <v>851</v>
      </c>
      <c r="L157">
        <v>1346</v>
      </c>
      <c r="N157">
        <v>1009</v>
      </c>
      <c r="O157" t="s">
        <v>58</v>
      </c>
      <c r="P157" t="s">
        <v>58</v>
      </c>
      <c r="Q157">
        <v>1</v>
      </c>
      <c r="X157">
        <v>10.3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 t="s">
        <v>3</v>
      </c>
      <c r="AG157">
        <v>10.3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ROW(Source!A107)</f>
        <v>107</v>
      </c>
      <c r="B158">
        <v>53861179</v>
      </c>
      <c r="C158">
        <v>53860498</v>
      </c>
      <c r="D158">
        <v>29506954</v>
      </c>
      <c r="E158">
        <v>29506949</v>
      </c>
      <c r="F158">
        <v>1</v>
      </c>
      <c r="G158">
        <v>29506949</v>
      </c>
      <c r="H158">
        <v>1</v>
      </c>
      <c r="I158" t="s">
        <v>638</v>
      </c>
      <c r="J158" t="s">
        <v>3</v>
      </c>
      <c r="K158" t="s">
        <v>639</v>
      </c>
      <c r="L158">
        <v>1191</v>
      </c>
      <c r="N158">
        <v>1013</v>
      </c>
      <c r="O158" t="s">
        <v>640</v>
      </c>
      <c r="P158" t="s">
        <v>640</v>
      </c>
      <c r="Q158">
        <v>1</v>
      </c>
      <c r="X158">
        <v>65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1</v>
      </c>
      <c r="AF158" t="s">
        <v>52</v>
      </c>
      <c r="AG158">
        <v>74.75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ROW(Source!A107)</f>
        <v>107</v>
      </c>
      <c r="B159">
        <v>53861180</v>
      </c>
      <c r="C159">
        <v>53860498</v>
      </c>
      <c r="D159">
        <v>29580491</v>
      </c>
      <c r="E159">
        <v>1</v>
      </c>
      <c r="F159">
        <v>1</v>
      </c>
      <c r="G159">
        <v>29506949</v>
      </c>
      <c r="H159">
        <v>2</v>
      </c>
      <c r="I159" t="s">
        <v>650</v>
      </c>
      <c r="J159" t="s">
        <v>651</v>
      </c>
      <c r="K159" t="s">
        <v>652</v>
      </c>
      <c r="L159">
        <v>1368</v>
      </c>
      <c r="N159">
        <v>1011</v>
      </c>
      <c r="O159" t="s">
        <v>647</v>
      </c>
      <c r="P159" t="s">
        <v>647</v>
      </c>
      <c r="Q159">
        <v>1</v>
      </c>
      <c r="X159">
        <v>0.13</v>
      </c>
      <c r="Y159">
        <v>0</v>
      </c>
      <c r="Z159">
        <v>83.1</v>
      </c>
      <c r="AA159">
        <v>12.62</v>
      </c>
      <c r="AB159">
        <v>0</v>
      </c>
      <c r="AC159">
        <v>0</v>
      </c>
      <c r="AD159">
        <v>1</v>
      </c>
      <c r="AE159">
        <v>0</v>
      </c>
      <c r="AF159" t="s">
        <v>51</v>
      </c>
      <c r="AG159">
        <v>0.16250000000000001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ROW(Source!A107)</f>
        <v>107</v>
      </c>
      <c r="B160">
        <v>53861181</v>
      </c>
      <c r="C160">
        <v>53860498</v>
      </c>
      <c r="D160">
        <v>29579738</v>
      </c>
      <c r="E160">
        <v>1</v>
      </c>
      <c r="F160">
        <v>1</v>
      </c>
      <c r="G160">
        <v>29506949</v>
      </c>
      <c r="H160">
        <v>2</v>
      </c>
      <c r="I160" t="s">
        <v>665</v>
      </c>
      <c r="J160" t="s">
        <v>666</v>
      </c>
      <c r="K160" t="s">
        <v>667</v>
      </c>
      <c r="L160">
        <v>1368</v>
      </c>
      <c r="N160">
        <v>1011</v>
      </c>
      <c r="O160" t="s">
        <v>647</v>
      </c>
      <c r="P160" t="s">
        <v>647</v>
      </c>
      <c r="Q160">
        <v>1</v>
      </c>
      <c r="X160">
        <v>0.1</v>
      </c>
      <c r="Y160">
        <v>0</v>
      </c>
      <c r="Z160">
        <v>179.17</v>
      </c>
      <c r="AA160">
        <v>16.93</v>
      </c>
      <c r="AB160">
        <v>0</v>
      </c>
      <c r="AC160">
        <v>0</v>
      </c>
      <c r="AD160">
        <v>1</v>
      </c>
      <c r="AE160">
        <v>0</v>
      </c>
      <c r="AF160" t="s">
        <v>51</v>
      </c>
      <c r="AG160">
        <v>0.125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ROW(Source!A107)</f>
        <v>107</v>
      </c>
      <c r="B161">
        <v>53861182</v>
      </c>
      <c r="C161">
        <v>53860498</v>
      </c>
      <c r="D161">
        <v>29580002</v>
      </c>
      <c r="E161">
        <v>1</v>
      </c>
      <c r="F161">
        <v>1</v>
      </c>
      <c r="G161">
        <v>29506949</v>
      </c>
      <c r="H161">
        <v>2</v>
      </c>
      <c r="I161" t="s">
        <v>760</v>
      </c>
      <c r="J161" t="s">
        <v>761</v>
      </c>
      <c r="K161" t="s">
        <v>762</v>
      </c>
      <c r="L161">
        <v>1368</v>
      </c>
      <c r="N161">
        <v>1011</v>
      </c>
      <c r="O161" t="s">
        <v>647</v>
      </c>
      <c r="P161" t="s">
        <v>647</v>
      </c>
      <c r="Q161">
        <v>1</v>
      </c>
      <c r="X161">
        <v>0.4</v>
      </c>
      <c r="Y161">
        <v>0</v>
      </c>
      <c r="Z161">
        <v>13.07</v>
      </c>
      <c r="AA161">
        <v>11.18</v>
      </c>
      <c r="AB161">
        <v>0</v>
      </c>
      <c r="AC161">
        <v>0</v>
      </c>
      <c r="AD161">
        <v>1</v>
      </c>
      <c r="AE161">
        <v>0</v>
      </c>
      <c r="AF161" t="s">
        <v>51</v>
      </c>
      <c r="AG161">
        <v>0.5</v>
      </c>
      <c r="AH161">
        <v>3</v>
      </c>
      <c r="AI161">
        <v>-1</v>
      </c>
      <c r="AJ161" t="s">
        <v>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ROW(Source!A107)</f>
        <v>107</v>
      </c>
      <c r="B162">
        <v>53861183</v>
      </c>
      <c r="C162">
        <v>53860498</v>
      </c>
      <c r="D162">
        <v>29580006</v>
      </c>
      <c r="E162">
        <v>1</v>
      </c>
      <c r="F162">
        <v>1</v>
      </c>
      <c r="G162">
        <v>29506949</v>
      </c>
      <c r="H162">
        <v>2</v>
      </c>
      <c r="I162" t="s">
        <v>742</v>
      </c>
      <c r="J162" t="s">
        <v>743</v>
      </c>
      <c r="K162" t="s">
        <v>744</v>
      </c>
      <c r="L162">
        <v>1368</v>
      </c>
      <c r="N162">
        <v>1011</v>
      </c>
      <c r="O162" t="s">
        <v>647</v>
      </c>
      <c r="P162" t="s">
        <v>647</v>
      </c>
      <c r="Q162">
        <v>1</v>
      </c>
      <c r="X162">
        <v>4.7</v>
      </c>
      <c r="Y162">
        <v>0</v>
      </c>
      <c r="Z162">
        <v>16.45</v>
      </c>
      <c r="AA162">
        <v>11.18</v>
      </c>
      <c r="AB162">
        <v>0</v>
      </c>
      <c r="AC162">
        <v>0</v>
      </c>
      <c r="AD162">
        <v>1</v>
      </c>
      <c r="AE162">
        <v>0</v>
      </c>
      <c r="AF162" t="s">
        <v>51</v>
      </c>
      <c r="AG162">
        <v>5.875</v>
      </c>
      <c r="AH162">
        <v>3</v>
      </c>
      <c r="AI162">
        <v>-1</v>
      </c>
      <c r="AJ162" t="s">
        <v>3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ROW(Source!A107)</f>
        <v>107</v>
      </c>
      <c r="B163">
        <v>53861184</v>
      </c>
      <c r="C163">
        <v>53860498</v>
      </c>
      <c r="D163">
        <v>29528985</v>
      </c>
      <c r="E163">
        <v>29506949</v>
      </c>
      <c r="F163">
        <v>1</v>
      </c>
      <c r="G163">
        <v>29506949</v>
      </c>
      <c r="H163">
        <v>3</v>
      </c>
      <c r="I163" t="s">
        <v>852</v>
      </c>
      <c r="J163" t="s">
        <v>3</v>
      </c>
      <c r="K163" t="s">
        <v>69</v>
      </c>
      <c r="L163">
        <v>1339</v>
      </c>
      <c r="N163">
        <v>1007</v>
      </c>
      <c r="O163" t="s">
        <v>70</v>
      </c>
      <c r="P163" t="s">
        <v>70</v>
      </c>
      <c r="Q163">
        <v>1</v>
      </c>
      <c r="X163">
        <v>8.4000000000000005E-2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 t="s">
        <v>3</v>
      </c>
      <c r="AG163">
        <v>8.4000000000000005E-2</v>
      </c>
      <c r="AH163">
        <v>3</v>
      </c>
      <c r="AI163">
        <v>-1</v>
      </c>
      <c r="AJ163" t="s">
        <v>3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ROW(Source!A107)</f>
        <v>107</v>
      </c>
      <c r="B164">
        <v>53861185</v>
      </c>
      <c r="C164">
        <v>53860498</v>
      </c>
      <c r="D164">
        <v>29556396</v>
      </c>
      <c r="E164">
        <v>1</v>
      </c>
      <c r="F164">
        <v>1</v>
      </c>
      <c r="G164">
        <v>29506949</v>
      </c>
      <c r="H164">
        <v>3</v>
      </c>
      <c r="I164" t="s">
        <v>745</v>
      </c>
      <c r="J164" t="s">
        <v>746</v>
      </c>
      <c r="K164" t="s">
        <v>747</v>
      </c>
      <c r="L164">
        <v>1327</v>
      </c>
      <c r="N164">
        <v>1005</v>
      </c>
      <c r="O164" t="s">
        <v>100</v>
      </c>
      <c r="P164" t="s">
        <v>100</v>
      </c>
      <c r="Q164">
        <v>1</v>
      </c>
      <c r="X164">
        <v>2.77</v>
      </c>
      <c r="Y164">
        <v>33.56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3</v>
      </c>
      <c r="AG164">
        <v>2.77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ROW(Source!A107)</f>
        <v>107</v>
      </c>
      <c r="B165">
        <v>53861186</v>
      </c>
      <c r="C165">
        <v>53860498</v>
      </c>
      <c r="D165">
        <v>29555611</v>
      </c>
      <c r="E165">
        <v>1</v>
      </c>
      <c r="F165">
        <v>1</v>
      </c>
      <c r="G165">
        <v>29506949</v>
      </c>
      <c r="H165">
        <v>3</v>
      </c>
      <c r="I165" t="s">
        <v>882</v>
      </c>
      <c r="J165" t="s">
        <v>883</v>
      </c>
      <c r="K165" t="s">
        <v>884</v>
      </c>
      <c r="L165">
        <v>1348</v>
      </c>
      <c r="N165">
        <v>1009</v>
      </c>
      <c r="O165" t="s">
        <v>75</v>
      </c>
      <c r="P165" t="s">
        <v>75</v>
      </c>
      <c r="Q165">
        <v>1000</v>
      </c>
      <c r="X165">
        <v>6.9999999999999994E-5</v>
      </c>
      <c r="Y165">
        <v>6521.42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6.9999999999999994E-5</v>
      </c>
      <c r="AH165">
        <v>3</v>
      </c>
      <c r="AI165">
        <v>-1</v>
      </c>
      <c r="AJ165" t="s">
        <v>3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ROW(Source!A107)</f>
        <v>107</v>
      </c>
      <c r="B166">
        <v>53861187</v>
      </c>
      <c r="C166">
        <v>53860498</v>
      </c>
      <c r="D166">
        <v>29555624</v>
      </c>
      <c r="E166">
        <v>1</v>
      </c>
      <c r="F166">
        <v>1</v>
      </c>
      <c r="G166">
        <v>29506949</v>
      </c>
      <c r="H166">
        <v>3</v>
      </c>
      <c r="I166" t="s">
        <v>885</v>
      </c>
      <c r="J166" t="s">
        <v>886</v>
      </c>
      <c r="K166" t="s">
        <v>887</v>
      </c>
      <c r="L166">
        <v>1348</v>
      </c>
      <c r="N166">
        <v>1009</v>
      </c>
      <c r="O166" t="s">
        <v>75</v>
      </c>
      <c r="P166" t="s">
        <v>75</v>
      </c>
      <c r="Q166">
        <v>1000</v>
      </c>
      <c r="X166">
        <v>6.0000000000000001E-3</v>
      </c>
      <c r="Y166">
        <v>1227.3800000000001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3</v>
      </c>
      <c r="AG166">
        <v>6.0000000000000001E-3</v>
      </c>
      <c r="AH166">
        <v>3</v>
      </c>
      <c r="AI166">
        <v>-1</v>
      </c>
      <c r="AJ166" t="s">
        <v>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ROW(Source!A107)</f>
        <v>107</v>
      </c>
      <c r="B167">
        <v>53861188</v>
      </c>
      <c r="C167">
        <v>53860498</v>
      </c>
      <c r="D167">
        <v>29523435</v>
      </c>
      <c r="E167">
        <v>29506949</v>
      </c>
      <c r="F167">
        <v>1</v>
      </c>
      <c r="G167">
        <v>29506949</v>
      </c>
      <c r="H167">
        <v>3</v>
      </c>
      <c r="I167" t="s">
        <v>853</v>
      </c>
      <c r="J167" t="s">
        <v>3</v>
      </c>
      <c r="K167" t="s">
        <v>854</v>
      </c>
      <c r="L167">
        <v>1348</v>
      </c>
      <c r="N167">
        <v>1009</v>
      </c>
      <c r="O167" t="s">
        <v>75</v>
      </c>
      <c r="P167" t="s">
        <v>75</v>
      </c>
      <c r="Q167">
        <v>1000</v>
      </c>
      <c r="X167">
        <v>0.48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 t="s">
        <v>3</v>
      </c>
      <c r="AG167">
        <v>0.48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ROW(Source!A107)</f>
        <v>107</v>
      </c>
      <c r="B168">
        <v>53861189</v>
      </c>
      <c r="C168">
        <v>53860498</v>
      </c>
      <c r="D168">
        <v>29523439</v>
      </c>
      <c r="E168">
        <v>29506949</v>
      </c>
      <c r="F168">
        <v>1</v>
      </c>
      <c r="G168">
        <v>29506949</v>
      </c>
      <c r="H168">
        <v>3</v>
      </c>
      <c r="I168" t="s">
        <v>855</v>
      </c>
      <c r="J168" t="s">
        <v>3</v>
      </c>
      <c r="K168" t="s">
        <v>856</v>
      </c>
      <c r="L168">
        <v>1339</v>
      </c>
      <c r="N168">
        <v>1007</v>
      </c>
      <c r="O168" t="s">
        <v>70</v>
      </c>
      <c r="P168" t="s">
        <v>70</v>
      </c>
      <c r="Q168">
        <v>1</v>
      </c>
      <c r="X168">
        <v>1.208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 t="s">
        <v>3</v>
      </c>
      <c r="AG168">
        <v>1.208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ROW(Source!A111)</f>
        <v>111</v>
      </c>
      <c r="B169">
        <v>53861190</v>
      </c>
      <c r="C169">
        <v>53860505</v>
      </c>
      <c r="D169">
        <v>29506954</v>
      </c>
      <c r="E169">
        <v>29506949</v>
      </c>
      <c r="F169">
        <v>1</v>
      </c>
      <c r="G169">
        <v>29506949</v>
      </c>
      <c r="H169">
        <v>1</v>
      </c>
      <c r="I169" t="s">
        <v>638</v>
      </c>
      <c r="J169" t="s">
        <v>3</v>
      </c>
      <c r="K169" t="s">
        <v>639</v>
      </c>
      <c r="L169">
        <v>1191</v>
      </c>
      <c r="N169">
        <v>1013</v>
      </c>
      <c r="O169" t="s">
        <v>640</v>
      </c>
      <c r="P169" t="s">
        <v>640</v>
      </c>
      <c r="Q169">
        <v>1</v>
      </c>
      <c r="X169">
        <v>115.26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1</v>
      </c>
      <c r="AF169" t="s">
        <v>52</v>
      </c>
      <c r="AG169">
        <v>132.54900000000001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ROW(Source!A111)</f>
        <v>111</v>
      </c>
      <c r="B170">
        <v>53861191</v>
      </c>
      <c r="C170">
        <v>53860505</v>
      </c>
      <c r="D170">
        <v>29580613</v>
      </c>
      <c r="E170">
        <v>1</v>
      </c>
      <c r="F170">
        <v>1</v>
      </c>
      <c r="G170">
        <v>29506949</v>
      </c>
      <c r="H170">
        <v>2</v>
      </c>
      <c r="I170" t="s">
        <v>769</v>
      </c>
      <c r="J170" t="s">
        <v>770</v>
      </c>
      <c r="K170" t="s">
        <v>771</v>
      </c>
      <c r="L170">
        <v>1368</v>
      </c>
      <c r="N170">
        <v>1011</v>
      </c>
      <c r="O170" t="s">
        <v>647</v>
      </c>
      <c r="P170" t="s">
        <v>647</v>
      </c>
      <c r="Q170">
        <v>1</v>
      </c>
      <c r="X170">
        <v>1.35</v>
      </c>
      <c r="Y170">
        <v>0</v>
      </c>
      <c r="Z170">
        <v>0.8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51</v>
      </c>
      <c r="AG170">
        <v>1.6875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ROW(Source!A111)</f>
        <v>111</v>
      </c>
      <c r="B171">
        <v>53861192</v>
      </c>
      <c r="C171">
        <v>53860505</v>
      </c>
      <c r="D171">
        <v>46626109</v>
      </c>
      <c r="E171">
        <v>1</v>
      </c>
      <c r="F171">
        <v>1</v>
      </c>
      <c r="G171">
        <v>29506949</v>
      </c>
      <c r="H171">
        <v>2</v>
      </c>
      <c r="I171" t="s">
        <v>888</v>
      </c>
      <c r="J171" t="s">
        <v>889</v>
      </c>
      <c r="K171" t="s">
        <v>890</v>
      </c>
      <c r="L171">
        <v>1368</v>
      </c>
      <c r="N171">
        <v>1011</v>
      </c>
      <c r="O171" t="s">
        <v>647</v>
      </c>
      <c r="P171" t="s">
        <v>647</v>
      </c>
      <c r="Q171">
        <v>1</v>
      </c>
      <c r="X171">
        <v>0.08</v>
      </c>
      <c r="Y171">
        <v>0</v>
      </c>
      <c r="Z171">
        <v>164.94</v>
      </c>
      <c r="AA171">
        <v>14.54</v>
      </c>
      <c r="AB171">
        <v>0</v>
      </c>
      <c r="AC171">
        <v>0</v>
      </c>
      <c r="AD171">
        <v>1</v>
      </c>
      <c r="AE171">
        <v>0</v>
      </c>
      <c r="AF171" t="s">
        <v>51</v>
      </c>
      <c r="AG171">
        <v>0.1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ROW(Source!A111)</f>
        <v>111</v>
      </c>
      <c r="B172">
        <v>53861193</v>
      </c>
      <c r="C172">
        <v>53860505</v>
      </c>
      <c r="D172">
        <v>29555595</v>
      </c>
      <c r="E172">
        <v>1</v>
      </c>
      <c r="F172">
        <v>1</v>
      </c>
      <c r="G172">
        <v>29506949</v>
      </c>
      <c r="H172">
        <v>3</v>
      </c>
      <c r="I172" t="s">
        <v>656</v>
      </c>
      <c r="J172" t="s">
        <v>657</v>
      </c>
      <c r="K172" t="s">
        <v>658</v>
      </c>
      <c r="L172">
        <v>1346</v>
      </c>
      <c r="N172">
        <v>1009</v>
      </c>
      <c r="O172" t="s">
        <v>58</v>
      </c>
      <c r="P172" t="s">
        <v>58</v>
      </c>
      <c r="Q172">
        <v>1</v>
      </c>
      <c r="X172">
        <v>0.5</v>
      </c>
      <c r="Y172">
        <v>1.61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0.5</v>
      </c>
      <c r="AH172">
        <v>3</v>
      </c>
      <c r="AI172">
        <v>-1</v>
      </c>
      <c r="AJ172" t="s">
        <v>3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ROW(Source!A111)</f>
        <v>111</v>
      </c>
      <c r="B173">
        <v>53861194</v>
      </c>
      <c r="C173">
        <v>53860505</v>
      </c>
      <c r="D173">
        <v>29555598</v>
      </c>
      <c r="E173">
        <v>1</v>
      </c>
      <c r="F173">
        <v>1</v>
      </c>
      <c r="G173">
        <v>29506949</v>
      </c>
      <c r="H173">
        <v>3</v>
      </c>
      <c r="I173" t="s">
        <v>68</v>
      </c>
      <c r="J173" t="s">
        <v>71</v>
      </c>
      <c r="K173" t="s">
        <v>69</v>
      </c>
      <c r="L173">
        <v>1339</v>
      </c>
      <c r="N173">
        <v>1007</v>
      </c>
      <c r="O173" t="s">
        <v>70</v>
      </c>
      <c r="P173" t="s">
        <v>70</v>
      </c>
      <c r="Q173">
        <v>1</v>
      </c>
      <c r="X173">
        <v>8.5000000000000006E-2</v>
      </c>
      <c r="Y173">
        <v>7.07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3</v>
      </c>
      <c r="AG173">
        <v>8.5000000000000006E-2</v>
      </c>
      <c r="AH173">
        <v>3</v>
      </c>
      <c r="AI173">
        <v>-1</v>
      </c>
      <c r="AJ173" t="s">
        <v>3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ROW(Source!A111)</f>
        <v>111</v>
      </c>
      <c r="B174">
        <v>53861195</v>
      </c>
      <c r="C174">
        <v>53860505</v>
      </c>
      <c r="D174">
        <v>29555656</v>
      </c>
      <c r="E174">
        <v>1</v>
      </c>
      <c r="F174">
        <v>1</v>
      </c>
      <c r="G174">
        <v>29506949</v>
      </c>
      <c r="H174">
        <v>3</v>
      </c>
      <c r="I174" t="s">
        <v>891</v>
      </c>
      <c r="J174" t="s">
        <v>892</v>
      </c>
      <c r="K174" t="s">
        <v>893</v>
      </c>
      <c r="L174">
        <v>1348</v>
      </c>
      <c r="N174">
        <v>1009</v>
      </c>
      <c r="O174" t="s">
        <v>75</v>
      </c>
      <c r="P174" t="s">
        <v>75</v>
      </c>
      <c r="Q174">
        <v>1000</v>
      </c>
      <c r="X174">
        <v>2.0999999999999999E-3</v>
      </c>
      <c r="Y174">
        <v>39052.85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2.0999999999999999E-3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ROW(Source!A111)</f>
        <v>111</v>
      </c>
      <c r="B175">
        <v>53861196</v>
      </c>
      <c r="C175">
        <v>53860505</v>
      </c>
      <c r="D175">
        <v>29521886</v>
      </c>
      <c r="E175">
        <v>29506949</v>
      </c>
      <c r="F175">
        <v>1</v>
      </c>
      <c r="G175">
        <v>29506949</v>
      </c>
      <c r="H175">
        <v>3</v>
      </c>
      <c r="I175" t="s">
        <v>894</v>
      </c>
      <c r="J175" t="s">
        <v>3</v>
      </c>
      <c r="K175" t="s">
        <v>895</v>
      </c>
      <c r="L175">
        <v>1348</v>
      </c>
      <c r="N175">
        <v>1009</v>
      </c>
      <c r="O175" t="s">
        <v>75</v>
      </c>
      <c r="P175" t="s">
        <v>75</v>
      </c>
      <c r="Q175">
        <v>1000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 t="s">
        <v>3</v>
      </c>
      <c r="AG175">
        <v>0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ROW(Source!A111)</f>
        <v>111</v>
      </c>
      <c r="B176">
        <v>53861197</v>
      </c>
      <c r="C176">
        <v>53860505</v>
      </c>
      <c r="D176">
        <v>29524544</v>
      </c>
      <c r="E176">
        <v>29506949</v>
      </c>
      <c r="F176">
        <v>1</v>
      </c>
      <c r="G176">
        <v>29506949</v>
      </c>
      <c r="H176">
        <v>3</v>
      </c>
      <c r="I176" t="s">
        <v>896</v>
      </c>
      <c r="J176" t="s">
        <v>3</v>
      </c>
      <c r="K176" t="s">
        <v>897</v>
      </c>
      <c r="L176">
        <v>1348</v>
      </c>
      <c r="N176">
        <v>1009</v>
      </c>
      <c r="O176" t="s">
        <v>75</v>
      </c>
      <c r="P176" t="s">
        <v>75</v>
      </c>
      <c r="Q176">
        <v>1000</v>
      </c>
      <c r="X176">
        <v>0.375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 t="s">
        <v>3</v>
      </c>
      <c r="AG176">
        <v>0.375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ROW(Source!A111)</f>
        <v>111</v>
      </c>
      <c r="B177">
        <v>53861198</v>
      </c>
      <c r="C177">
        <v>53860505</v>
      </c>
      <c r="D177">
        <v>29524668</v>
      </c>
      <c r="E177">
        <v>29506949</v>
      </c>
      <c r="F177">
        <v>1</v>
      </c>
      <c r="G177">
        <v>29506949</v>
      </c>
      <c r="H177">
        <v>3</v>
      </c>
      <c r="I177" t="s">
        <v>898</v>
      </c>
      <c r="J177" t="s">
        <v>3</v>
      </c>
      <c r="K177" t="s">
        <v>899</v>
      </c>
      <c r="L177">
        <v>1327</v>
      </c>
      <c r="N177">
        <v>1005</v>
      </c>
      <c r="O177" t="s">
        <v>100</v>
      </c>
      <c r="P177" t="s">
        <v>100</v>
      </c>
      <c r="Q177">
        <v>1</v>
      </c>
      <c r="X177">
        <v>100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 t="s">
        <v>3</v>
      </c>
      <c r="AG177">
        <v>100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ROW(Source!A115)</f>
        <v>115</v>
      </c>
      <c r="B178">
        <v>53861199</v>
      </c>
      <c r="C178">
        <v>53860512</v>
      </c>
      <c r="D178">
        <v>29506954</v>
      </c>
      <c r="E178">
        <v>29506949</v>
      </c>
      <c r="F178">
        <v>1</v>
      </c>
      <c r="G178">
        <v>29506949</v>
      </c>
      <c r="H178">
        <v>1</v>
      </c>
      <c r="I178" t="s">
        <v>638</v>
      </c>
      <c r="J178" t="s">
        <v>3</v>
      </c>
      <c r="K178" t="s">
        <v>639</v>
      </c>
      <c r="L178">
        <v>1191</v>
      </c>
      <c r="N178">
        <v>1013</v>
      </c>
      <c r="O178" t="s">
        <v>640</v>
      </c>
      <c r="P178" t="s">
        <v>640</v>
      </c>
      <c r="Q178">
        <v>1</v>
      </c>
      <c r="X178">
        <v>74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1</v>
      </c>
      <c r="AF178" t="s">
        <v>52</v>
      </c>
      <c r="AG178">
        <v>85.1</v>
      </c>
      <c r="AH178">
        <v>2</v>
      </c>
      <c r="AI178">
        <v>53860513</v>
      </c>
      <c r="AJ178">
        <v>108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ROW(Source!A115)</f>
        <v>115</v>
      </c>
      <c r="B179">
        <v>53861200</v>
      </c>
      <c r="C179">
        <v>53860512</v>
      </c>
      <c r="D179">
        <v>29580491</v>
      </c>
      <c r="E179">
        <v>1</v>
      </c>
      <c r="F179">
        <v>1</v>
      </c>
      <c r="G179">
        <v>29506949</v>
      </c>
      <c r="H179">
        <v>2</v>
      </c>
      <c r="I179" t="s">
        <v>650</v>
      </c>
      <c r="J179" t="s">
        <v>651</v>
      </c>
      <c r="K179" t="s">
        <v>652</v>
      </c>
      <c r="L179">
        <v>1368</v>
      </c>
      <c r="N179">
        <v>1011</v>
      </c>
      <c r="O179" t="s">
        <v>647</v>
      </c>
      <c r="P179" t="s">
        <v>647</v>
      </c>
      <c r="Q179">
        <v>1</v>
      </c>
      <c r="X179">
        <v>0.18</v>
      </c>
      <c r="Y179">
        <v>0</v>
      </c>
      <c r="Z179">
        <v>83.1</v>
      </c>
      <c r="AA179">
        <v>12.62</v>
      </c>
      <c r="AB179">
        <v>0</v>
      </c>
      <c r="AC179">
        <v>0</v>
      </c>
      <c r="AD179">
        <v>1</v>
      </c>
      <c r="AE179">
        <v>0</v>
      </c>
      <c r="AF179" t="s">
        <v>51</v>
      </c>
      <c r="AG179">
        <v>0.22499999999999998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ROW(Source!A115)</f>
        <v>115</v>
      </c>
      <c r="B180">
        <v>53861201</v>
      </c>
      <c r="C180">
        <v>53860512</v>
      </c>
      <c r="D180">
        <v>29579738</v>
      </c>
      <c r="E180">
        <v>1</v>
      </c>
      <c r="F180">
        <v>1</v>
      </c>
      <c r="G180">
        <v>29506949</v>
      </c>
      <c r="H180">
        <v>2</v>
      </c>
      <c r="I180" t="s">
        <v>665</v>
      </c>
      <c r="J180" t="s">
        <v>666</v>
      </c>
      <c r="K180" t="s">
        <v>667</v>
      </c>
      <c r="L180">
        <v>1368</v>
      </c>
      <c r="N180">
        <v>1011</v>
      </c>
      <c r="O180" t="s">
        <v>647</v>
      </c>
      <c r="P180" t="s">
        <v>647</v>
      </c>
      <c r="Q180">
        <v>1</v>
      </c>
      <c r="X180">
        <v>0.14000000000000001</v>
      </c>
      <c r="Y180">
        <v>0</v>
      </c>
      <c r="Z180">
        <v>179.17</v>
      </c>
      <c r="AA180">
        <v>16.93</v>
      </c>
      <c r="AB180">
        <v>0</v>
      </c>
      <c r="AC180">
        <v>0</v>
      </c>
      <c r="AD180">
        <v>1</v>
      </c>
      <c r="AE180">
        <v>0</v>
      </c>
      <c r="AF180" t="s">
        <v>51</v>
      </c>
      <c r="AG180">
        <v>0.17500000000000002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ROW(Source!A115)</f>
        <v>115</v>
      </c>
      <c r="B181">
        <v>53861202</v>
      </c>
      <c r="C181">
        <v>53860512</v>
      </c>
      <c r="D181">
        <v>29580002</v>
      </c>
      <c r="E181">
        <v>1</v>
      </c>
      <c r="F181">
        <v>1</v>
      </c>
      <c r="G181">
        <v>29506949</v>
      </c>
      <c r="H181">
        <v>2</v>
      </c>
      <c r="I181" t="s">
        <v>760</v>
      </c>
      <c r="J181" t="s">
        <v>761</v>
      </c>
      <c r="K181" t="s">
        <v>762</v>
      </c>
      <c r="L181">
        <v>1368</v>
      </c>
      <c r="N181">
        <v>1011</v>
      </c>
      <c r="O181" t="s">
        <v>647</v>
      </c>
      <c r="P181" t="s">
        <v>647</v>
      </c>
      <c r="Q181">
        <v>1</v>
      </c>
      <c r="X181">
        <v>0.5</v>
      </c>
      <c r="Y181">
        <v>0</v>
      </c>
      <c r="Z181">
        <v>13.07</v>
      </c>
      <c r="AA181">
        <v>11.18</v>
      </c>
      <c r="AB181">
        <v>0</v>
      </c>
      <c r="AC181">
        <v>0</v>
      </c>
      <c r="AD181">
        <v>1</v>
      </c>
      <c r="AE181">
        <v>0</v>
      </c>
      <c r="AF181" t="s">
        <v>51</v>
      </c>
      <c r="AG181">
        <v>0.625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ROW(Source!A115)</f>
        <v>115</v>
      </c>
      <c r="B182">
        <v>53861203</v>
      </c>
      <c r="C182">
        <v>53860512</v>
      </c>
      <c r="D182">
        <v>29580006</v>
      </c>
      <c r="E182">
        <v>1</v>
      </c>
      <c r="F182">
        <v>1</v>
      </c>
      <c r="G182">
        <v>29506949</v>
      </c>
      <c r="H182">
        <v>2</v>
      </c>
      <c r="I182" t="s">
        <v>742</v>
      </c>
      <c r="J182" t="s">
        <v>743</v>
      </c>
      <c r="K182" t="s">
        <v>744</v>
      </c>
      <c r="L182">
        <v>1368</v>
      </c>
      <c r="N182">
        <v>1011</v>
      </c>
      <c r="O182" t="s">
        <v>647</v>
      </c>
      <c r="P182" t="s">
        <v>647</v>
      </c>
      <c r="Q182">
        <v>1</v>
      </c>
      <c r="X182">
        <v>4.7</v>
      </c>
      <c r="Y182">
        <v>0</v>
      </c>
      <c r="Z182">
        <v>16.45</v>
      </c>
      <c r="AA182">
        <v>11.18</v>
      </c>
      <c r="AB182">
        <v>0</v>
      </c>
      <c r="AC182">
        <v>0</v>
      </c>
      <c r="AD182">
        <v>1</v>
      </c>
      <c r="AE182">
        <v>0</v>
      </c>
      <c r="AF182" t="s">
        <v>51</v>
      </c>
      <c r="AG182">
        <v>5.875</v>
      </c>
      <c r="AH182">
        <v>2</v>
      </c>
      <c r="AI182">
        <v>53860514</v>
      </c>
      <c r="AJ182">
        <v>109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ROW(Source!A115)</f>
        <v>115</v>
      </c>
      <c r="B183">
        <v>53861204</v>
      </c>
      <c r="C183">
        <v>53860512</v>
      </c>
      <c r="D183">
        <v>29528985</v>
      </c>
      <c r="E183">
        <v>29506949</v>
      </c>
      <c r="F183">
        <v>1</v>
      </c>
      <c r="G183">
        <v>29506949</v>
      </c>
      <c r="H183">
        <v>3</v>
      </c>
      <c r="I183" t="s">
        <v>852</v>
      </c>
      <c r="J183" t="s">
        <v>3</v>
      </c>
      <c r="K183" t="s">
        <v>69</v>
      </c>
      <c r="L183">
        <v>1339</v>
      </c>
      <c r="N183">
        <v>1007</v>
      </c>
      <c r="O183" t="s">
        <v>70</v>
      </c>
      <c r="P183" t="s">
        <v>70</v>
      </c>
      <c r="Q183">
        <v>1</v>
      </c>
      <c r="X183">
        <v>0.10471999999999999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 t="s">
        <v>3</v>
      </c>
      <c r="AG183">
        <v>0.10471999999999999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ROW(Source!A115)</f>
        <v>115</v>
      </c>
      <c r="B184">
        <v>53861205</v>
      </c>
      <c r="C184">
        <v>53860512</v>
      </c>
      <c r="D184">
        <v>29556396</v>
      </c>
      <c r="E184">
        <v>1</v>
      </c>
      <c r="F184">
        <v>1</v>
      </c>
      <c r="G184">
        <v>29506949</v>
      </c>
      <c r="H184">
        <v>3</v>
      </c>
      <c r="I184" t="s">
        <v>745</v>
      </c>
      <c r="J184" t="s">
        <v>746</v>
      </c>
      <c r="K184" t="s">
        <v>747</v>
      </c>
      <c r="L184">
        <v>1327</v>
      </c>
      <c r="N184">
        <v>1005</v>
      </c>
      <c r="O184" t="s">
        <v>100</v>
      </c>
      <c r="P184" t="s">
        <v>100</v>
      </c>
      <c r="Q184">
        <v>1</v>
      </c>
      <c r="X184">
        <v>5.54</v>
      </c>
      <c r="Y184">
        <v>33.56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</v>
      </c>
      <c r="AG184">
        <v>5.54</v>
      </c>
      <c r="AH184">
        <v>2</v>
      </c>
      <c r="AI184">
        <v>53860516</v>
      </c>
      <c r="AJ184">
        <v>111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ROW(Source!A115)</f>
        <v>115</v>
      </c>
      <c r="B185">
        <v>53861206</v>
      </c>
      <c r="C185">
        <v>53860512</v>
      </c>
      <c r="D185">
        <v>29555611</v>
      </c>
      <c r="E185">
        <v>1</v>
      </c>
      <c r="F185">
        <v>1</v>
      </c>
      <c r="G185">
        <v>29506949</v>
      </c>
      <c r="H185">
        <v>3</v>
      </c>
      <c r="I185" t="s">
        <v>882</v>
      </c>
      <c r="J185" t="s">
        <v>883</v>
      </c>
      <c r="K185" t="s">
        <v>884</v>
      </c>
      <c r="L185">
        <v>1348</v>
      </c>
      <c r="N185">
        <v>1009</v>
      </c>
      <c r="O185" t="s">
        <v>75</v>
      </c>
      <c r="P185" t="s">
        <v>75</v>
      </c>
      <c r="Q185">
        <v>1000</v>
      </c>
      <c r="X185">
        <v>1.2E-4</v>
      </c>
      <c r="Y185">
        <v>6521.42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3</v>
      </c>
      <c r="AG185">
        <v>1.2E-4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ROW(Source!A115)</f>
        <v>115</v>
      </c>
      <c r="B186">
        <v>53861207</v>
      </c>
      <c r="C186">
        <v>53860512</v>
      </c>
      <c r="D186">
        <v>29555624</v>
      </c>
      <c r="E186">
        <v>1</v>
      </c>
      <c r="F186">
        <v>1</v>
      </c>
      <c r="G186">
        <v>29506949</v>
      </c>
      <c r="H186">
        <v>3</v>
      </c>
      <c r="I186" t="s">
        <v>885</v>
      </c>
      <c r="J186" t="s">
        <v>886</v>
      </c>
      <c r="K186" t="s">
        <v>887</v>
      </c>
      <c r="L186">
        <v>1348</v>
      </c>
      <c r="N186">
        <v>1009</v>
      </c>
      <c r="O186" t="s">
        <v>75</v>
      </c>
      <c r="P186" t="s">
        <v>75</v>
      </c>
      <c r="Q186">
        <v>1000</v>
      </c>
      <c r="X186">
        <v>6.0000000000000001E-3</v>
      </c>
      <c r="Y186">
        <v>1227.3800000000001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3</v>
      </c>
      <c r="AG186">
        <v>6.0000000000000001E-3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ROW(Source!A115)</f>
        <v>115</v>
      </c>
      <c r="B187">
        <v>53861208</v>
      </c>
      <c r="C187">
        <v>53860512</v>
      </c>
      <c r="D187">
        <v>29523435</v>
      </c>
      <c r="E187">
        <v>29506949</v>
      </c>
      <c r="F187">
        <v>1</v>
      </c>
      <c r="G187">
        <v>29506949</v>
      </c>
      <c r="H187">
        <v>3</v>
      </c>
      <c r="I187" t="s">
        <v>853</v>
      </c>
      <c r="J187" t="s">
        <v>3</v>
      </c>
      <c r="K187" t="s">
        <v>854</v>
      </c>
      <c r="L187">
        <v>1348</v>
      </c>
      <c r="N187">
        <v>1009</v>
      </c>
      <c r="O187" t="s">
        <v>75</v>
      </c>
      <c r="P187" t="s">
        <v>75</v>
      </c>
      <c r="Q187">
        <v>1000</v>
      </c>
      <c r="X187">
        <v>0.59840000000000004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 t="s">
        <v>3</v>
      </c>
      <c r="AG187">
        <v>0.59840000000000004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ROW(Source!A115)</f>
        <v>115</v>
      </c>
      <c r="B188">
        <v>53861209</v>
      </c>
      <c r="C188">
        <v>53860512</v>
      </c>
      <c r="D188">
        <v>29523439</v>
      </c>
      <c r="E188">
        <v>29506949</v>
      </c>
      <c r="F188">
        <v>1</v>
      </c>
      <c r="G188">
        <v>29506949</v>
      </c>
      <c r="H188">
        <v>3</v>
      </c>
      <c r="I188" t="s">
        <v>855</v>
      </c>
      <c r="J188" t="s">
        <v>3</v>
      </c>
      <c r="K188" t="s">
        <v>856</v>
      </c>
      <c r="L188">
        <v>1339</v>
      </c>
      <c r="N188">
        <v>1007</v>
      </c>
      <c r="O188" t="s">
        <v>70</v>
      </c>
      <c r="P188" t="s">
        <v>70</v>
      </c>
      <c r="Q188">
        <v>1</v>
      </c>
      <c r="X188">
        <v>1.496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 t="s">
        <v>3</v>
      </c>
      <c r="AG188">
        <v>1.496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ROW(Source!A119)</f>
        <v>119</v>
      </c>
      <c r="B189">
        <v>53861210</v>
      </c>
      <c r="C189">
        <v>53860530</v>
      </c>
      <c r="D189">
        <v>29506954</v>
      </c>
      <c r="E189">
        <v>29506949</v>
      </c>
      <c r="F189">
        <v>1</v>
      </c>
      <c r="G189">
        <v>29506949</v>
      </c>
      <c r="H189">
        <v>1</v>
      </c>
      <c r="I189" t="s">
        <v>638</v>
      </c>
      <c r="J189" t="s">
        <v>3</v>
      </c>
      <c r="K189" t="s">
        <v>639</v>
      </c>
      <c r="L189">
        <v>1191</v>
      </c>
      <c r="N189">
        <v>1013</v>
      </c>
      <c r="O189" t="s">
        <v>640</v>
      </c>
      <c r="P189" t="s">
        <v>640</v>
      </c>
      <c r="Q189">
        <v>1</v>
      </c>
      <c r="X189">
        <v>43.56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1</v>
      </c>
      <c r="AF189" t="s">
        <v>52</v>
      </c>
      <c r="AG189">
        <v>50.094000000000001</v>
      </c>
      <c r="AH189">
        <v>2</v>
      </c>
      <c r="AI189">
        <v>53860531</v>
      </c>
      <c r="AJ189">
        <v>115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ROW(Source!A119)</f>
        <v>119</v>
      </c>
      <c r="B190">
        <v>53861211</v>
      </c>
      <c r="C190">
        <v>53860530</v>
      </c>
      <c r="D190">
        <v>29580491</v>
      </c>
      <c r="E190">
        <v>1</v>
      </c>
      <c r="F190">
        <v>1</v>
      </c>
      <c r="G190">
        <v>29506949</v>
      </c>
      <c r="H190">
        <v>2</v>
      </c>
      <c r="I190" t="s">
        <v>650</v>
      </c>
      <c r="J190" t="s">
        <v>651</v>
      </c>
      <c r="K190" t="s">
        <v>652</v>
      </c>
      <c r="L190">
        <v>1368</v>
      </c>
      <c r="N190">
        <v>1011</v>
      </c>
      <c r="O190" t="s">
        <v>647</v>
      </c>
      <c r="P190" t="s">
        <v>647</v>
      </c>
      <c r="Q190">
        <v>1</v>
      </c>
      <c r="X190">
        <v>0.15</v>
      </c>
      <c r="Y190">
        <v>0</v>
      </c>
      <c r="Z190">
        <v>83.1</v>
      </c>
      <c r="AA190">
        <v>12.62</v>
      </c>
      <c r="AB190">
        <v>0</v>
      </c>
      <c r="AC190">
        <v>0</v>
      </c>
      <c r="AD190">
        <v>1</v>
      </c>
      <c r="AE190">
        <v>0</v>
      </c>
      <c r="AF190" t="s">
        <v>51</v>
      </c>
      <c r="AG190">
        <v>0.1875</v>
      </c>
      <c r="AH190">
        <v>2</v>
      </c>
      <c r="AI190">
        <v>53860532</v>
      </c>
      <c r="AJ190">
        <v>116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ROW(Source!A119)</f>
        <v>119</v>
      </c>
      <c r="B191">
        <v>53861212</v>
      </c>
      <c r="C191">
        <v>53860530</v>
      </c>
      <c r="D191">
        <v>29555595</v>
      </c>
      <c r="E191">
        <v>1</v>
      </c>
      <c r="F191">
        <v>1</v>
      </c>
      <c r="G191">
        <v>29506949</v>
      </c>
      <c r="H191">
        <v>3</v>
      </c>
      <c r="I191" t="s">
        <v>656</v>
      </c>
      <c r="J191" t="s">
        <v>657</v>
      </c>
      <c r="K191" t="s">
        <v>658</v>
      </c>
      <c r="L191">
        <v>1346</v>
      </c>
      <c r="N191">
        <v>1009</v>
      </c>
      <c r="O191" t="s">
        <v>58</v>
      </c>
      <c r="P191" t="s">
        <v>58</v>
      </c>
      <c r="Q191">
        <v>1</v>
      </c>
      <c r="X191">
        <v>0.31</v>
      </c>
      <c r="Y191">
        <v>1.61</v>
      </c>
      <c r="Z191">
        <v>0</v>
      </c>
      <c r="AA191">
        <v>0</v>
      </c>
      <c r="AB191">
        <v>0</v>
      </c>
      <c r="AC191">
        <v>0</v>
      </c>
      <c r="AD191">
        <v>1</v>
      </c>
      <c r="AE191">
        <v>0</v>
      </c>
      <c r="AF191" t="s">
        <v>3</v>
      </c>
      <c r="AG191">
        <v>0.31</v>
      </c>
      <c r="AH191">
        <v>2</v>
      </c>
      <c r="AI191">
        <v>53860533</v>
      </c>
      <c r="AJ191">
        <v>117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ROW(Source!A119)</f>
        <v>119</v>
      </c>
      <c r="B192">
        <v>53861213</v>
      </c>
      <c r="C192">
        <v>53860530</v>
      </c>
      <c r="D192">
        <v>29556811</v>
      </c>
      <c r="E192">
        <v>1</v>
      </c>
      <c r="F192">
        <v>1</v>
      </c>
      <c r="G192">
        <v>29506949</v>
      </c>
      <c r="H192">
        <v>3</v>
      </c>
      <c r="I192" t="s">
        <v>659</v>
      </c>
      <c r="J192" t="s">
        <v>660</v>
      </c>
      <c r="K192" t="s">
        <v>661</v>
      </c>
      <c r="L192">
        <v>1327</v>
      </c>
      <c r="N192">
        <v>1005</v>
      </c>
      <c r="O192" t="s">
        <v>100</v>
      </c>
      <c r="P192" t="s">
        <v>100</v>
      </c>
      <c r="Q192">
        <v>1</v>
      </c>
      <c r="X192">
        <v>0.84</v>
      </c>
      <c r="Y192">
        <v>104</v>
      </c>
      <c r="Z192">
        <v>0</v>
      </c>
      <c r="AA192">
        <v>0</v>
      </c>
      <c r="AB192">
        <v>0</v>
      </c>
      <c r="AC192">
        <v>0</v>
      </c>
      <c r="AD192">
        <v>1</v>
      </c>
      <c r="AE192">
        <v>0</v>
      </c>
      <c r="AF192" t="s">
        <v>3</v>
      </c>
      <c r="AG192">
        <v>0.84</v>
      </c>
      <c r="AH192">
        <v>2</v>
      </c>
      <c r="AI192">
        <v>53860534</v>
      </c>
      <c r="AJ192">
        <v>118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ROW(Source!A119)</f>
        <v>119</v>
      </c>
      <c r="B193">
        <v>53861214</v>
      </c>
      <c r="C193">
        <v>53860530</v>
      </c>
      <c r="D193">
        <v>29556824</v>
      </c>
      <c r="E193">
        <v>1</v>
      </c>
      <c r="F193">
        <v>1</v>
      </c>
      <c r="G193">
        <v>29506949</v>
      </c>
      <c r="H193">
        <v>3</v>
      </c>
      <c r="I193" t="s">
        <v>662</v>
      </c>
      <c r="J193" t="s">
        <v>663</v>
      </c>
      <c r="K193" t="s">
        <v>664</v>
      </c>
      <c r="L193">
        <v>1348</v>
      </c>
      <c r="N193">
        <v>1009</v>
      </c>
      <c r="O193" t="s">
        <v>75</v>
      </c>
      <c r="P193" t="s">
        <v>75</v>
      </c>
      <c r="Q193">
        <v>1000</v>
      </c>
      <c r="X193">
        <v>5.0999999999999997E-2</v>
      </c>
      <c r="Y193">
        <v>13953.6</v>
      </c>
      <c r="Z193">
        <v>0</v>
      </c>
      <c r="AA193">
        <v>0</v>
      </c>
      <c r="AB193">
        <v>0</v>
      </c>
      <c r="AC193">
        <v>0</v>
      </c>
      <c r="AD193">
        <v>1</v>
      </c>
      <c r="AE193">
        <v>0</v>
      </c>
      <c r="AF193" t="s">
        <v>3</v>
      </c>
      <c r="AG193">
        <v>5.0999999999999997E-2</v>
      </c>
      <c r="AH193">
        <v>2</v>
      </c>
      <c r="AI193">
        <v>53860535</v>
      </c>
      <c r="AJ193">
        <v>119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ROW(Source!A119)</f>
        <v>119</v>
      </c>
      <c r="B194">
        <v>53861215</v>
      </c>
      <c r="C194">
        <v>53860530</v>
      </c>
      <c r="D194">
        <v>39597517</v>
      </c>
      <c r="E194">
        <v>29506949</v>
      </c>
      <c r="F194">
        <v>1</v>
      </c>
      <c r="G194">
        <v>29506949</v>
      </c>
      <c r="H194">
        <v>3</v>
      </c>
      <c r="I194" t="s">
        <v>850</v>
      </c>
      <c r="J194" t="s">
        <v>3</v>
      </c>
      <c r="K194" t="s">
        <v>851</v>
      </c>
      <c r="L194">
        <v>1348</v>
      </c>
      <c r="N194">
        <v>1009</v>
      </c>
      <c r="O194" t="s">
        <v>75</v>
      </c>
      <c r="P194" t="s">
        <v>75</v>
      </c>
      <c r="Q194">
        <v>1000</v>
      </c>
      <c r="X194">
        <v>0.02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 t="s">
        <v>3</v>
      </c>
      <c r="AG194">
        <v>0.02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ROW(Source!A119)</f>
        <v>119</v>
      </c>
      <c r="B195">
        <v>53861216</v>
      </c>
      <c r="C195">
        <v>53860530</v>
      </c>
      <c r="D195">
        <v>39597541</v>
      </c>
      <c r="E195">
        <v>29506949</v>
      </c>
      <c r="F195">
        <v>1</v>
      </c>
      <c r="G195">
        <v>29506949</v>
      </c>
      <c r="H195">
        <v>3</v>
      </c>
      <c r="I195" t="s">
        <v>857</v>
      </c>
      <c r="J195" t="s">
        <v>3</v>
      </c>
      <c r="K195" t="s">
        <v>870</v>
      </c>
      <c r="L195">
        <v>1346</v>
      </c>
      <c r="N195">
        <v>1009</v>
      </c>
      <c r="O195" t="s">
        <v>58</v>
      </c>
      <c r="P195" t="s">
        <v>58</v>
      </c>
      <c r="Q195">
        <v>1</v>
      </c>
      <c r="X195">
        <v>30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 t="s">
        <v>3</v>
      </c>
      <c r="AG195">
        <v>30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ROW(Source!A122)</f>
        <v>122</v>
      </c>
      <c r="B196">
        <v>53861217</v>
      </c>
      <c r="C196">
        <v>53860547</v>
      </c>
      <c r="D196">
        <v>29506954</v>
      </c>
      <c r="E196">
        <v>29506949</v>
      </c>
      <c r="F196">
        <v>1</v>
      </c>
      <c r="G196">
        <v>29506949</v>
      </c>
      <c r="H196">
        <v>1</v>
      </c>
      <c r="I196" t="s">
        <v>638</v>
      </c>
      <c r="J196" t="s">
        <v>3</v>
      </c>
      <c r="K196" t="s">
        <v>639</v>
      </c>
      <c r="L196">
        <v>1191</v>
      </c>
      <c r="N196">
        <v>1013</v>
      </c>
      <c r="O196" t="s">
        <v>640</v>
      </c>
      <c r="P196" t="s">
        <v>640</v>
      </c>
      <c r="Q196">
        <v>1</v>
      </c>
      <c r="X196">
        <v>157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1</v>
      </c>
      <c r="AF196" t="s">
        <v>52</v>
      </c>
      <c r="AG196">
        <v>180.54999999999998</v>
      </c>
      <c r="AH196">
        <v>2</v>
      </c>
      <c r="AI196">
        <v>53860548</v>
      </c>
      <c r="AJ196">
        <v>122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ROW(Source!A122)</f>
        <v>122</v>
      </c>
      <c r="B197">
        <v>53861218</v>
      </c>
      <c r="C197">
        <v>53860547</v>
      </c>
      <c r="D197">
        <v>29580491</v>
      </c>
      <c r="E197">
        <v>1</v>
      </c>
      <c r="F197">
        <v>1</v>
      </c>
      <c r="G197">
        <v>29506949</v>
      </c>
      <c r="H197">
        <v>2</v>
      </c>
      <c r="I197" t="s">
        <v>650</v>
      </c>
      <c r="J197" t="s">
        <v>651</v>
      </c>
      <c r="K197" t="s">
        <v>652</v>
      </c>
      <c r="L197">
        <v>1368</v>
      </c>
      <c r="N197">
        <v>1011</v>
      </c>
      <c r="O197" t="s">
        <v>647</v>
      </c>
      <c r="P197" t="s">
        <v>647</v>
      </c>
      <c r="Q197">
        <v>1</v>
      </c>
      <c r="X197">
        <v>0.14000000000000001</v>
      </c>
      <c r="Y197">
        <v>0</v>
      </c>
      <c r="Z197">
        <v>83.1</v>
      </c>
      <c r="AA197">
        <v>12.62</v>
      </c>
      <c r="AB197">
        <v>0</v>
      </c>
      <c r="AC197">
        <v>0</v>
      </c>
      <c r="AD197">
        <v>1</v>
      </c>
      <c r="AE197">
        <v>0</v>
      </c>
      <c r="AF197" t="s">
        <v>51</v>
      </c>
      <c r="AG197">
        <v>0.17500000000000002</v>
      </c>
      <c r="AH197">
        <v>3</v>
      </c>
      <c r="AI197">
        <v>-1</v>
      </c>
      <c r="AJ197" t="s">
        <v>3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ROW(Source!A122)</f>
        <v>122</v>
      </c>
      <c r="B198">
        <v>53861219</v>
      </c>
      <c r="C198">
        <v>53860547</v>
      </c>
      <c r="D198">
        <v>29555595</v>
      </c>
      <c r="E198">
        <v>1</v>
      </c>
      <c r="F198">
        <v>1</v>
      </c>
      <c r="G198">
        <v>29506949</v>
      </c>
      <c r="H198">
        <v>3</v>
      </c>
      <c r="I198" t="s">
        <v>656</v>
      </c>
      <c r="J198" t="s">
        <v>657</v>
      </c>
      <c r="K198" t="s">
        <v>658</v>
      </c>
      <c r="L198">
        <v>1346</v>
      </c>
      <c r="N198">
        <v>1009</v>
      </c>
      <c r="O198" t="s">
        <v>58</v>
      </c>
      <c r="P198" t="s">
        <v>58</v>
      </c>
      <c r="Q198">
        <v>1</v>
      </c>
      <c r="X198">
        <v>0.01</v>
      </c>
      <c r="Y198">
        <v>1.61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0</v>
      </c>
      <c r="AF198" t="s">
        <v>3</v>
      </c>
      <c r="AG198">
        <v>0.01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ROW(Source!A122)</f>
        <v>122</v>
      </c>
      <c r="B199">
        <v>53861220</v>
      </c>
      <c r="C199">
        <v>53860547</v>
      </c>
      <c r="D199">
        <v>29555598</v>
      </c>
      <c r="E199">
        <v>1</v>
      </c>
      <c r="F199">
        <v>1</v>
      </c>
      <c r="G199">
        <v>29506949</v>
      </c>
      <c r="H199">
        <v>3</v>
      </c>
      <c r="I199" t="s">
        <v>68</v>
      </c>
      <c r="J199" t="s">
        <v>71</v>
      </c>
      <c r="K199" t="s">
        <v>69</v>
      </c>
      <c r="L199">
        <v>1339</v>
      </c>
      <c r="N199">
        <v>1007</v>
      </c>
      <c r="O199" t="s">
        <v>70</v>
      </c>
      <c r="P199" t="s">
        <v>70</v>
      </c>
      <c r="Q199">
        <v>1</v>
      </c>
      <c r="X199">
        <v>2.64E-2</v>
      </c>
      <c r="Y199">
        <v>7.07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0</v>
      </c>
      <c r="AF199" t="s">
        <v>3</v>
      </c>
      <c r="AG199">
        <v>2.64E-2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ROW(Source!A122)</f>
        <v>122</v>
      </c>
      <c r="B200">
        <v>53861221</v>
      </c>
      <c r="C200">
        <v>53860547</v>
      </c>
      <c r="D200">
        <v>29556811</v>
      </c>
      <c r="E200">
        <v>1</v>
      </c>
      <c r="F200">
        <v>1</v>
      </c>
      <c r="G200">
        <v>29506949</v>
      </c>
      <c r="H200">
        <v>3</v>
      </c>
      <c r="I200" t="s">
        <v>659</v>
      </c>
      <c r="J200" t="s">
        <v>660</v>
      </c>
      <c r="K200" t="s">
        <v>661</v>
      </c>
      <c r="L200">
        <v>1327</v>
      </c>
      <c r="N200">
        <v>1005</v>
      </c>
      <c r="O200" t="s">
        <v>100</v>
      </c>
      <c r="P200" t="s">
        <v>100</v>
      </c>
      <c r="Q200">
        <v>1</v>
      </c>
      <c r="X200">
        <v>0.4</v>
      </c>
      <c r="Y200">
        <v>104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0</v>
      </c>
      <c r="AF200" t="s">
        <v>3</v>
      </c>
      <c r="AG200">
        <v>0.4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ROW(Source!A122)</f>
        <v>122</v>
      </c>
      <c r="B201">
        <v>53861222</v>
      </c>
      <c r="C201">
        <v>53860547</v>
      </c>
      <c r="D201">
        <v>29557276</v>
      </c>
      <c r="E201">
        <v>1</v>
      </c>
      <c r="F201">
        <v>1</v>
      </c>
      <c r="G201">
        <v>29506949</v>
      </c>
      <c r="H201">
        <v>3</v>
      </c>
      <c r="I201" t="s">
        <v>900</v>
      </c>
      <c r="J201" t="s">
        <v>901</v>
      </c>
      <c r="K201" t="s">
        <v>902</v>
      </c>
      <c r="L201">
        <v>1348</v>
      </c>
      <c r="N201">
        <v>1009</v>
      </c>
      <c r="O201" t="s">
        <v>75</v>
      </c>
      <c r="P201" t="s">
        <v>75</v>
      </c>
      <c r="Q201">
        <v>1000</v>
      </c>
      <c r="X201">
        <v>0.01</v>
      </c>
      <c r="Y201">
        <v>9455.3799999999992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0</v>
      </c>
      <c r="AF201" t="s">
        <v>3</v>
      </c>
      <c r="AG201">
        <v>0.01</v>
      </c>
      <c r="AH201">
        <v>3</v>
      </c>
      <c r="AI201">
        <v>-1</v>
      </c>
      <c r="AJ201" t="s">
        <v>3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ROW(Source!A122)</f>
        <v>122</v>
      </c>
      <c r="B202">
        <v>53861223</v>
      </c>
      <c r="C202">
        <v>53860547</v>
      </c>
      <c r="D202">
        <v>29555851</v>
      </c>
      <c r="E202">
        <v>1</v>
      </c>
      <c r="F202">
        <v>1</v>
      </c>
      <c r="G202">
        <v>29506949</v>
      </c>
      <c r="H202">
        <v>3</v>
      </c>
      <c r="I202" t="s">
        <v>748</v>
      </c>
      <c r="J202" t="s">
        <v>749</v>
      </c>
      <c r="K202" t="s">
        <v>750</v>
      </c>
      <c r="L202">
        <v>1348</v>
      </c>
      <c r="N202">
        <v>1009</v>
      </c>
      <c r="O202" t="s">
        <v>75</v>
      </c>
      <c r="P202" t="s">
        <v>75</v>
      </c>
      <c r="Q202">
        <v>1000</v>
      </c>
      <c r="X202">
        <v>0.02</v>
      </c>
      <c r="Y202">
        <v>46784.78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0</v>
      </c>
      <c r="AF202" t="s">
        <v>3</v>
      </c>
      <c r="AG202">
        <v>0.02</v>
      </c>
      <c r="AH202">
        <v>2</v>
      </c>
      <c r="AI202">
        <v>53860550</v>
      </c>
      <c r="AJ202">
        <v>125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ROW(Source!A122)</f>
        <v>122</v>
      </c>
      <c r="B203">
        <v>53861224</v>
      </c>
      <c r="C203">
        <v>53860547</v>
      </c>
      <c r="D203">
        <v>29522551</v>
      </c>
      <c r="E203">
        <v>29506949</v>
      </c>
      <c r="F203">
        <v>1</v>
      </c>
      <c r="G203">
        <v>29506949</v>
      </c>
      <c r="H203">
        <v>3</v>
      </c>
      <c r="I203" t="s">
        <v>903</v>
      </c>
      <c r="J203" t="s">
        <v>3</v>
      </c>
      <c r="K203" t="s">
        <v>904</v>
      </c>
      <c r="L203">
        <v>1348</v>
      </c>
      <c r="N203">
        <v>1009</v>
      </c>
      <c r="O203" t="s">
        <v>75</v>
      </c>
      <c r="P203" t="s">
        <v>75</v>
      </c>
      <c r="Q203">
        <v>1000</v>
      </c>
      <c r="X203">
        <v>1.6E-2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 t="s">
        <v>3</v>
      </c>
      <c r="AG203">
        <v>1.6E-2</v>
      </c>
      <c r="AH203">
        <v>3</v>
      </c>
      <c r="AI203">
        <v>-1</v>
      </c>
      <c r="AJ203" t="s">
        <v>3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ROW(Source!A122)</f>
        <v>122</v>
      </c>
      <c r="B204">
        <v>53861225</v>
      </c>
      <c r="C204">
        <v>53860547</v>
      </c>
      <c r="D204">
        <v>29522533</v>
      </c>
      <c r="E204">
        <v>29506949</v>
      </c>
      <c r="F204">
        <v>1</v>
      </c>
      <c r="G204">
        <v>29506949</v>
      </c>
      <c r="H204">
        <v>3</v>
      </c>
      <c r="I204" t="s">
        <v>905</v>
      </c>
      <c r="J204" t="s">
        <v>3</v>
      </c>
      <c r="K204" t="s">
        <v>906</v>
      </c>
      <c r="L204">
        <v>1346</v>
      </c>
      <c r="N204">
        <v>1009</v>
      </c>
      <c r="O204" t="s">
        <v>58</v>
      </c>
      <c r="P204" t="s">
        <v>58</v>
      </c>
      <c r="Q204">
        <v>1</v>
      </c>
      <c r="X204">
        <v>120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 t="s">
        <v>3</v>
      </c>
      <c r="AG204">
        <v>120</v>
      </c>
      <c r="AH204">
        <v>3</v>
      </c>
      <c r="AI204">
        <v>-1</v>
      </c>
      <c r="AJ204" t="s">
        <v>3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ROW(Source!A122)</f>
        <v>122</v>
      </c>
      <c r="B205">
        <v>53861226</v>
      </c>
      <c r="C205">
        <v>53860547</v>
      </c>
      <c r="D205">
        <v>29522420</v>
      </c>
      <c r="E205">
        <v>29506949</v>
      </c>
      <c r="F205">
        <v>1</v>
      </c>
      <c r="G205">
        <v>29506949</v>
      </c>
      <c r="H205">
        <v>3</v>
      </c>
      <c r="I205" t="s">
        <v>907</v>
      </c>
      <c r="J205" t="s">
        <v>3</v>
      </c>
      <c r="K205" t="s">
        <v>908</v>
      </c>
      <c r="L205">
        <v>1327</v>
      </c>
      <c r="N205">
        <v>1005</v>
      </c>
      <c r="O205" t="s">
        <v>100</v>
      </c>
      <c r="P205" t="s">
        <v>100</v>
      </c>
      <c r="Q205">
        <v>1</v>
      </c>
      <c r="X205">
        <v>112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 t="s">
        <v>3</v>
      </c>
      <c r="AG205">
        <v>112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ROW(Source!A126)</f>
        <v>126</v>
      </c>
      <c r="B206">
        <v>53861227</v>
      </c>
      <c r="C206">
        <v>53860565</v>
      </c>
      <c r="D206">
        <v>29506954</v>
      </c>
      <c r="E206">
        <v>29506949</v>
      </c>
      <c r="F206">
        <v>1</v>
      </c>
      <c r="G206">
        <v>29506949</v>
      </c>
      <c r="H206">
        <v>1</v>
      </c>
      <c r="I206" t="s">
        <v>638</v>
      </c>
      <c r="J206" t="s">
        <v>3</v>
      </c>
      <c r="K206" t="s">
        <v>639</v>
      </c>
      <c r="L206">
        <v>1191</v>
      </c>
      <c r="N206">
        <v>1013</v>
      </c>
      <c r="O206" t="s">
        <v>640</v>
      </c>
      <c r="P206" t="s">
        <v>640</v>
      </c>
      <c r="Q206">
        <v>1</v>
      </c>
      <c r="X206">
        <v>5.49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52</v>
      </c>
      <c r="AG206">
        <v>6.3134999999999994</v>
      </c>
      <c r="AH206">
        <v>2</v>
      </c>
      <c r="AI206">
        <v>53860566</v>
      </c>
      <c r="AJ206">
        <v>129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ROW(Source!A126)</f>
        <v>126</v>
      </c>
      <c r="B207">
        <v>53861228</v>
      </c>
      <c r="C207">
        <v>53860565</v>
      </c>
      <c r="D207">
        <v>29522551</v>
      </c>
      <c r="E207">
        <v>29506949</v>
      </c>
      <c r="F207">
        <v>1</v>
      </c>
      <c r="G207">
        <v>29506949</v>
      </c>
      <c r="H207">
        <v>3</v>
      </c>
      <c r="I207" t="s">
        <v>903</v>
      </c>
      <c r="J207" t="s">
        <v>3</v>
      </c>
      <c r="K207" t="s">
        <v>904</v>
      </c>
      <c r="L207">
        <v>1348</v>
      </c>
      <c r="N207">
        <v>1009</v>
      </c>
      <c r="O207" t="s">
        <v>75</v>
      </c>
      <c r="P207" t="s">
        <v>75</v>
      </c>
      <c r="Q207">
        <v>1000</v>
      </c>
      <c r="X207">
        <v>1.4999999999999999E-2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 t="s">
        <v>3</v>
      </c>
      <c r="AG207">
        <v>1.4999999999999999E-2</v>
      </c>
      <c r="AH207">
        <v>3</v>
      </c>
      <c r="AI207">
        <v>-1</v>
      </c>
      <c r="AJ207" t="s">
        <v>3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ROW(Source!A129)</f>
        <v>129</v>
      </c>
      <c r="B208">
        <v>53861229</v>
      </c>
      <c r="C208">
        <v>53860572</v>
      </c>
      <c r="D208">
        <v>29506954</v>
      </c>
      <c r="E208">
        <v>29506949</v>
      </c>
      <c r="F208">
        <v>1</v>
      </c>
      <c r="G208">
        <v>29506949</v>
      </c>
      <c r="H208">
        <v>1</v>
      </c>
      <c r="I208" t="s">
        <v>638</v>
      </c>
      <c r="J208" t="s">
        <v>3</v>
      </c>
      <c r="K208" t="s">
        <v>639</v>
      </c>
      <c r="L208">
        <v>1191</v>
      </c>
      <c r="N208">
        <v>1013</v>
      </c>
      <c r="O208" t="s">
        <v>640</v>
      </c>
      <c r="P208" t="s">
        <v>640</v>
      </c>
      <c r="Q208">
        <v>1</v>
      </c>
      <c r="X208">
        <v>147.65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52</v>
      </c>
      <c r="AG208">
        <v>169.79749999999999</v>
      </c>
      <c r="AH208">
        <v>3</v>
      </c>
      <c r="AI208">
        <v>-1</v>
      </c>
      <c r="AJ208" t="s">
        <v>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ROW(Source!A129)</f>
        <v>129</v>
      </c>
      <c r="B209">
        <v>53861230</v>
      </c>
      <c r="C209">
        <v>53860572</v>
      </c>
      <c r="D209">
        <v>29580491</v>
      </c>
      <c r="E209">
        <v>1</v>
      </c>
      <c r="F209">
        <v>1</v>
      </c>
      <c r="G209">
        <v>29506949</v>
      </c>
      <c r="H209">
        <v>2</v>
      </c>
      <c r="I209" t="s">
        <v>650</v>
      </c>
      <c r="J209" t="s">
        <v>651</v>
      </c>
      <c r="K209" t="s">
        <v>652</v>
      </c>
      <c r="L209">
        <v>1368</v>
      </c>
      <c r="N209">
        <v>1011</v>
      </c>
      <c r="O209" t="s">
        <v>647</v>
      </c>
      <c r="P209" t="s">
        <v>647</v>
      </c>
      <c r="Q209">
        <v>1</v>
      </c>
      <c r="X209">
        <v>0.35</v>
      </c>
      <c r="Y209">
        <v>0</v>
      </c>
      <c r="Z209">
        <v>83.1</v>
      </c>
      <c r="AA209">
        <v>12.62</v>
      </c>
      <c r="AB209">
        <v>0</v>
      </c>
      <c r="AC209">
        <v>0</v>
      </c>
      <c r="AD209">
        <v>1</v>
      </c>
      <c r="AE209">
        <v>0</v>
      </c>
      <c r="AF209" t="s">
        <v>51</v>
      </c>
      <c r="AG209">
        <v>0.4375</v>
      </c>
      <c r="AH209">
        <v>3</v>
      </c>
      <c r="AI209">
        <v>-1</v>
      </c>
      <c r="AJ209" t="s">
        <v>3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ROW(Source!A129)</f>
        <v>129</v>
      </c>
      <c r="B210">
        <v>53861232</v>
      </c>
      <c r="C210">
        <v>53860572</v>
      </c>
      <c r="D210">
        <v>29580614</v>
      </c>
      <c r="E210">
        <v>1</v>
      </c>
      <c r="F210">
        <v>1</v>
      </c>
      <c r="G210">
        <v>29506949</v>
      </c>
      <c r="H210">
        <v>2</v>
      </c>
      <c r="I210" t="s">
        <v>682</v>
      </c>
      <c r="J210" t="s">
        <v>683</v>
      </c>
      <c r="K210" t="s">
        <v>684</v>
      </c>
      <c r="L210">
        <v>1368</v>
      </c>
      <c r="N210">
        <v>1011</v>
      </c>
      <c r="O210" t="s">
        <v>647</v>
      </c>
      <c r="P210" t="s">
        <v>647</v>
      </c>
      <c r="Q210">
        <v>1</v>
      </c>
      <c r="X210">
        <v>0.6</v>
      </c>
      <c r="Y210">
        <v>0</v>
      </c>
      <c r="Z210">
        <v>1.1100000000000001</v>
      </c>
      <c r="AA210">
        <v>0</v>
      </c>
      <c r="AB210">
        <v>0</v>
      </c>
      <c r="AC210">
        <v>0</v>
      </c>
      <c r="AD210">
        <v>1</v>
      </c>
      <c r="AE210">
        <v>0</v>
      </c>
      <c r="AF210" t="s">
        <v>51</v>
      </c>
      <c r="AG210">
        <v>0.75</v>
      </c>
      <c r="AH210">
        <v>3</v>
      </c>
      <c r="AI210">
        <v>-1</v>
      </c>
      <c r="AJ210" t="s">
        <v>3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ROW(Source!A129)</f>
        <v>129</v>
      </c>
      <c r="B211">
        <v>53861233</v>
      </c>
      <c r="C211">
        <v>53860572</v>
      </c>
      <c r="D211">
        <v>29580549</v>
      </c>
      <c r="E211">
        <v>1</v>
      </c>
      <c r="F211">
        <v>1</v>
      </c>
      <c r="G211">
        <v>29506949</v>
      </c>
      <c r="H211">
        <v>2</v>
      </c>
      <c r="I211" t="s">
        <v>685</v>
      </c>
      <c r="J211" t="s">
        <v>686</v>
      </c>
      <c r="K211" t="s">
        <v>687</v>
      </c>
      <c r="L211">
        <v>1368</v>
      </c>
      <c r="N211">
        <v>1011</v>
      </c>
      <c r="O211" t="s">
        <v>647</v>
      </c>
      <c r="P211" t="s">
        <v>647</v>
      </c>
      <c r="Q211">
        <v>1</v>
      </c>
      <c r="X211">
        <v>0.1</v>
      </c>
      <c r="Y211">
        <v>0</v>
      </c>
      <c r="Z211">
        <v>0.39</v>
      </c>
      <c r="AA211">
        <v>0</v>
      </c>
      <c r="AB211">
        <v>0</v>
      </c>
      <c r="AC211">
        <v>0</v>
      </c>
      <c r="AD211">
        <v>1</v>
      </c>
      <c r="AE211">
        <v>0</v>
      </c>
      <c r="AF211" t="s">
        <v>51</v>
      </c>
      <c r="AG211">
        <v>0.125</v>
      </c>
      <c r="AH211">
        <v>3</v>
      </c>
      <c r="AI211">
        <v>-1</v>
      </c>
      <c r="AJ211" t="s">
        <v>3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ROW(Source!A129)</f>
        <v>129</v>
      </c>
      <c r="B212">
        <v>53861234</v>
      </c>
      <c r="C212">
        <v>53860572</v>
      </c>
      <c r="D212">
        <v>29580571</v>
      </c>
      <c r="E212">
        <v>1</v>
      </c>
      <c r="F212">
        <v>1</v>
      </c>
      <c r="G212">
        <v>29506949</v>
      </c>
      <c r="H212">
        <v>2</v>
      </c>
      <c r="I212" t="s">
        <v>644</v>
      </c>
      <c r="J212" t="s">
        <v>645</v>
      </c>
      <c r="K212" t="s">
        <v>646</v>
      </c>
      <c r="L212">
        <v>1368</v>
      </c>
      <c r="N212">
        <v>1011</v>
      </c>
      <c r="O212" t="s">
        <v>647</v>
      </c>
      <c r="P212" t="s">
        <v>647</v>
      </c>
      <c r="Q212">
        <v>1</v>
      </c>
      <c r="X212">
        <v>4.07</v>
      </c>
      <c r="Y212">
        <v>0</v>
      </c>
      <c r="Z212">
        <v>0.47</v>
      </c>
      <c r="AA212">
        <v>0</v>
      </c>
      <c r="AB212">
        <v>0</v>
      </c>
      <c r="AC212">
        <v>0</v>
      </c>
      <c r="AD212">
        <v>1</v>
      </c>
      <c r="AE212">
        <v>0</v>
      </c>
      <c r="AF212" t="s">
        <v>51</v>
      </c>
      <c r="AG212">
        <v>5.0875000000000004</v>
      </c>
      <c r="AH212">
        <v>3</v>
      </c>
      <c r="AI212">
        <v>-1</v>
      </c>
      <c r="AJ212" t="s">
        <v>3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ROW(Source!A129)</f>
        <v>129</v>
      </c>
      <c r="B213">
        <v>53861231</v>
      </c>
      <c r="C213">
        <v>53860572</v>
      </c>
      <c r="D213">
        <v>29579738</v>
      </c>
      <c r="E213">
        <v>1</v>
      </c>
      <c r="F213">
        <v>1</v>
      </c>
      <c r="G213">
        <v>29506949</v>
      </c>
      <c r="H213">
        <v>2</v>
      </c>
      <c r="I213" t="s">
        <v>665</v>
      </c>
      <c r="J213" t="s">
        <v>666</v>
      </c>
      <c r="K213" t="s">
        <v>667</v>
      </c>
      <c r="L213">
        <v>1368</v>
      </c>
      <c r="N213">
        <v>1011</v>
      </c>
      <c r="O213" t="s">
        <v>647</v>
      </c>
      <c r="P213" t="s">
        <v>647</v>
      </c>
      <c r="Q213">
        <v>1</v>
      </c>
      <c r="X213">
        <v>0.56000000000000005</v>
      </c>
      <c r="Y213">
        <v>0</v>
      </c>
      <c r="Z213">
        <v>179.17</v>
      </c>
      <c r="AA213">
        <v>16.93</v>
      </c>
      <c r="AB213">
        <v>0</v>
      </c>
      <c r="AC213">
        <v>0</v>
      </c>
      <c r="AD213">
        <v>1</v>
      </c>
      <c r="AE213">
        <v>0</v>
      </c>
      <c r="AF213" t="s">
        <v>51</v>
      </c>
      <c r="AG213">
        <v>0.70000000000000007</v>
      </c>
      <c r="AH213">
        <v>3</v>
      </c>
      <c r="AI213">
        <v>-1</v>
      </c>
      <c r="AJ213" t="s">
        <v>3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ROW(Source!A129)</f>
        <v>129</v>
      </c>
      <c r="B214">
        <v>53861235</v>
      </c>
      <c r="C214">
        <v>53860572</v>
      </c>
      <c r="D214">
        <v>29558353</v>
      </c>
      <c r="E214">
        <v>1</v>
      </c>
      <c r="F214">
        <v>1</v>
      </c>
      <c r="G214">
        <v>29506949</v>
      </c>
      <c r="H214">
        <v>3</v>
      </c>
      <c r="I214" t="s">
        <v>727</v>
      </c>
      <c r="J214" t="s">
        <v>728</v>
      </c>
      <c r="K214" t="s">
        <v>729</v>
      </c>
      <c r="L214">
        <v>1346</v>
      </c>
      <c r="N214">
        <v>1009</v>
      </c>
      <c r="O214" t="s">
        <v>58</v>
      </c>
      <c r="P214" t="s">
        <v>58</v>
      </c>
      <c r="Q214">
        <v>1</v>
      </c>
      <c r="X214">
        <v>20</v>
      </c>
      <c r="Y214">
        <v>17.309999999999999</v>
      </c>
      <c r="Z214">
        <v>0</v>
      </c>
      <c r="AA214">
        <v>0</v>
      </c>
      <c r="AB214">
        <v>0</v>
      </c>
      <c r="AC214">
        <v>0</v>
      </c>
      <c r="AD214">
        <v>1</v>
      </c>
      <c r="AE214">
        <v>0</v>
      </c>
      <c r="AF214" t="s">
        <v>3</v>
      </c>
      <c r="AG214">
        <v>20</v>
      </c>
      <c r="AH214">
        <v>3</v>
      </c>
      <c r="AI214">
        <v>-1</v>
      </c>
      <c r="AJ214" t="s">
        <v>3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ROW(Source!A129)</f>
        <v>129</v>
      </c>
      <c r="B215">
        <v>53861236</v>
      </c>
      <c r="C215">
        <v>53860572</v>
      </c>
      <c r="D215">
        <v>29558791</v>
      </c>
      <c r="E215">
        <v>1</v>
      </c>
      <c r="F215">
        <v>1</v>
      </c>
      <c r="G215">
        <v>29506949</v>
      </c>
      <c r="H215">
        <v>3</v>
      </c>
      <c r="I215" t="s">
        <v>691</v>
      </c>
      <c r="J215" t="s">
        <v>692</v>
      </c>
      <c r="K215" t="s">
        <v>693</v>
      </c>
      <c r="L215">
        <v>1301</v>
      </c>
      <c r="N215">
        <v>1003</v>
      </c>
      <c r="O215" t="s">
        <v>125</v>
      </c>
      <c r="P215" t="s">
        <v>125</v>
      </c>
      <c r="Q215">
        <v>1</v>
      </c>
      <c r="X215">
        <v>152</v>
      </c>
      <c r="Y215">
        <v>0.89</v>
      </c>
      <c r="Z215">
        <v>0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</v>
      </c>
      <c r="AG215">
        <v>152</v>
      </c>
      <c r="AH215">
        <v>3</v>
      </c>
      <c r="AI215">
        <v>-1</v>
      </c>
      <c r="AJ215" t="s">
        <v>3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ROW(Source!A129)</f>
        <v>129</v>
      </c>
      <c r="B216">
        <v>53861237</v>
      </c>
      <c r="C216">
        <v>53860572</v>
      </c>
      <c r="D216">
        <v>29558792</v>
      </c>
      <c r="E216">
        <v>1</v>
      </c>
      <c r="F216">
        <v>1</v>
      </c>
      <c r="G216">
        <v>29506949</v>
      </c>
      <c r="H216">
        <v>3</v>
      </c>
      <c r="I216" t="s">
        <v>694</v>
      </c>
      <c r="J216" t="s">
        <v>695</v>
      </c>
      <c r="K216" t="s">
        <v>696</v>
      </c>
      <c r="L216">
        <v>1301</v>
      </c>
      <c r="N216">
        <v>1003</v>
      </c>
      <c r="O216" t="s">
        <v>125</v>
      </c>
      <c r="P216" t="s">
        <v>125</v>
      </c>
      <c r="Q216">
        <v>1</v>
      </c>
      <c r="X216">
        <v>177</v>
      </c>
      <c r="Y216">
        <v>1.62</v>
      </c>
      <c r="Z216">
        <v>0</v>
      </c>
      <c r="AA216">
        <v>0</v>
      </c>
      <c r="AB216">
        <v>0</v>
      </c>
      <c r="AC216">
        <v>0</v>
      </c>
      <c r="AD216">
        <v>1</v>
      </c>
      <c r="AE216">
        <v>0</v>
      </c>
      <c r="AF216" t="s">
        <v>3</v>
      </c>
      <c r="AG216">
        <v>177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ROW(Source!A129)</f>
        <v>129</v>
      </c>
      <c r="B217">
        <v>53861238</v>
      </c>
      <c r="C217">
        <v>53860572</v>
      </c>
      <c r="D217">
        <v>29558797</v>
      </c>
      <c r="E217">
        <v>1</v>
      </c>
      <c r="F217">
        <v>1</v>
      </c>
      <c r="G217">
        <v>29506949</v>
      </c>
      <c r="H217">
        <v>3</v>
      </c>
      <c r="I217" t="s">
        <v>700</v>
      </c>
      <c r="J217" t="s">
        <v>701</v>
      </c>
      <c r="K217" t="s">
        <v>702</v>
      </c>
      <c r="L217">
        <v>1355</v>
      </c>
      <c r="N217">
        <v>1010</v>
      </c>
      <c r="O217" t="s">
        <v>129</v>
      </c>
      <c r="P217" t="s">
        <v>129</v>
      </c>
      <c r="Q217">
        <v>100</v>
      </c>
      <c r="X217">
        <v>13.53</v>
      </c>
      <c r="Y217">
        <v>4.2699999999999996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</v>
      </c>
      <c r="AG217">
        <v>13.53</v>
      </c>
      <c r="AH217">
        <v>3</v>
      </c>
      <c r="AI217">
        <v>-1</v>
      </c>
      <c r="AJ217" t="s">
        <v>3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ROW(Source!A129)</f>
        <v>129</v>
      </c>
      <c r="B218">
        <v>53861239</v>
      </c>
      <c r="C218">
        <v>53860572</v>
      </c>
      <c r="D218">
        <v>29558798</v>
      </c>
      <c r="E218">
        <v>1</v>
      </c>
      <c r="F218">
        <v>1</v>
      </c>
      <c r="G218">
        <v>29506949</v>
      </c>
      <c r="H218">
        <v>3</v>
      </c>
      <c r="I218" t="s">
        <v>733</v>
      </c>
      <c r="J218" t="s">
        <v>734</v>
      </c>
      <c r="K218" t="s">
        <v>735</v>
      </c>
      <c r="L218">
        <v>1355</v>
      </c>
      <c r="N218">
        <v>1010</v>
      </c>
      <c r="O218" t="s">
        <v>129</v>
      </c>
      <c r="P218" t="s">
        <v>129</v>
      </c>
      <c r="Q218">
        <v>100</v>
      </c>
      <c r="X218">
        <v>35.33</v>
      </c>
      <c r="Y218">
        <v>5.59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0</v>
      </c>
      <c r="AF218" t="s">
        <v>3</v>
      </c>
      <c r="AG218">
        <v>35.33</v>
      </c>
      <c r="AH218">
        <v>3</v>
      </c>
      <c r="AI218">
        <v>-1</v>
      </c>
      <c r="AJ218" t="s">
        <v>3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ROW(Source!A129)</f>
        <v>129</v>
      </c>
      <c r="B219">
        <v>53861240</v>
      </c>
      <c r="C219">
        <v>53860572</v>
      </c>
      <c r="D219">
        <v>29558800</v>
      </c>
      <c r="E219">
        <v>1</v>
      </c>
      <c r="F219">
        <v>1</v>
      </c>
      <c r="G219">
        <v>29506949</v>
      </c>
      <c r="H219">
        <v>3</v>
      </c>
      <c r="I219" t="s">
        <v>703</v>
      </c>
      <c r="J219" t="s">
        <v>704</v>
      </c>
      <c r="K219" t="s">
        <v>705</v>
      </c>
      <c r="L219">
        <v>1355</v>
      </c>
      <c r="N219">
        <v>1010</v>
      </c>
      <c r="O219" t="s">
        <v>129</v>
      </c>
      <c r="P219" t="s">
        <v>129</v>
      </c>
      <c r="Q219">
        <v>100</v>
      </c>
      <c r="X219">
        <v>1.69</v>
      </c>
      <c r="Y219">
        <v>43.81</v>
      </c>
      <c r="Z219">
        <v>0</v>
      </c>
      <c r="AA219">
        <v>0</v>
      </c>
      <c r="AB219">
        <v>0</v>
      </c>
      <c r="AC219">
        <v>0</v>
      </c>
      <c r="AD219">
        <v>1</v>
      </c>
      <c r="AE219">
        <v>0</v>
      </c>
      <c r="AF219" t="s">
        <v>3</v>
      </c>
      <c r="AG219">
        <v>1.69</v>
      </c>
      <c r="AH219">
        <v>3</v>
      </c>
      <c r="AI219">
        <v>-1</v>
      </c>
      <c r="AJ219" t="s">
        <v>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ROW(Source!A129)</f>
        <v>129</v>
      </c>
      <c r="B220">
        <v>53861241</v>
      </c>
      <c r="C220">
        <v>53860572</v>
      </c>
      <c r="D220">
        <v>29574265</v>
      </c>
      <c r="E220">
        <v>1</v>
      </c>
      <c r="F220">
        <v>1</v>
      </c>
      <c r="G220">
        <v>29506949</v>
      </c>
      <c r="H220">
        <v>3</v>
      </c>
      <c r="I220" t="s">
        <v>706</v>
      </c>
      <c r="J220" t="s">
        <v>707</v>
      </c>
      <c r="K220" t="s">
        <v>708</v>
      </c>
      <c r="L220">
        <v>1346</v>
      </c>
      <c r="N220">
        <v>1009</v>
      </c>
      <c r="O220" t="s">
        <v>58</v>
      </c>
      <c r="P220" t="s">
        <v>58</v>
      </c>
      <c r="Q220">
        <v>1</v>
      </c>
      <c r="X220">
        <v>21</v>
      </c>
      <c r="Y220">
        <v>14.88</v>
      </c>
      <c r="Z220">
        <v>0</v>
      </c>
      <c r="AA220">
        <v>0</v>
      </c>
      <c r="AB220">
        <v>0</v>
      </c>
      <c r="AC220">
        <v>0</v>
      </c>
      <c r="AD220">
        <v>1</v>
      </c>
      <c r="AE220">
        <v>0</v>
      </c>
      <c r="AF220" t="s">
        <v>3</v>
      </c>
      <c r="AG220">
        <v>21</v>
      </c>
      <c r="AH220">
        <v>3</v>
      </c>
      <c r="AI220">
        <v>-1</v>
      </c>
      <c r="AJ220" t="s">
        <v>3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ROW(Source!A129)</f>
        <v>129</v>
      </c>
      <c r="B221">
        <v>53861242</v>
      </c>
      <c r="C221">
        <v>53860572</v>
      </c>
      <c r="D221">
        <v>29574151</v>
      </c>
      <c r="E221">
        <v>1</v>
      </c>
      <c r="F221">
        <v>1</v>
      </c>
      <c r="G221">
        <v>29506949</v>
      </c>
      <c r="H221">
        <v>3</v>
      </c>
      <c r="I221" t="s">
        <v>709</v>
      </c>
      <c r="J221" t="s">
        <v>710</v>
      </c>
      <c r="K221" t="s">
        <v>711</v>
      </c>
      <c r="L221">
        <v>1346</v>
      </c>
      <c r="N221">
        <v>1009</v>
      </c>
      <c r="O221" t="s">
        <v>58</v>
      </c>
      <c r="P221" t="s">
        <v>58</v>
      </c>
      <c r="Q221">
        <v>1</v>
      </c>
      <c r="X221">
        <v>149</v>
      </c>
      <c r="Y221">
        <v>5.19</v>
      </c>
      <c r="Z221">
        <v>0</v>
      </c>
      <c r="AA221">
        <v>0</v>
      </c>
      <c r="AB221">
        <v>0</v>
      </c>
      <c r="AC221">
        <v>0</v>
      </c>
      <c r="AD221">
        <v>1</v>
      </c>
      <c r="AE221">
        <v>0</v>
      </c>
      <c r="AF221" t="s">
        <v>3</v>
      </c>
      <c r="AG221">
        <v>149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ROW(Source!A129)</f>
        <v>129</v>
      </c>
      <c r="B222">
        <v>53861243</v>
      </c>
      <c r="C222">
        <v>53860572</v>
      </c>
      <c r="D222">
        <v>29522437</v>
      </c>
      <c r="E222">
        <v>29506949</v>
      </c>
      <c r="F222">
        <v>1</v>
      </c>
      <c r="G222">
        <v>29506949</v>
      </c>
      <c r="H222">
        <v>3</v>
      </c>
      <c r="I222" t="s">
        <v>844</v>
      </c>
      <c r="J222" t="s">
        <v>3</v>
      </c>
      <c r="K222" t="s">
        <v>875</v>
      </c>
      <c r="L222">
        <v>1301</v>
      </c>
      <c r="N222">
        <v>1003</v>
      </c>
      <c r="O222" t="s">
        <v>125</v>
      </c>
      <c r="P222" t="s">
        <v>125</v>
      </c>
      <c r="Q222">
        <v>1</v>
      </c>
      <c r="X222">
        <v>126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 t="s">
        <v>3</v>
      </c>
      <c r="AG222">
        <v>126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ROW(Source!A129)</f>
        <v>129</v>
      </c>
      <c r="B223">
        <v>53861244</v>
      </c>
      <c r="C223">
        <v>53860572</v>
      </c>
      <c r="D223">
        <v>29520019</v>
      </c>
      <c r="E223">
        <v>29506949</v>
      </c>
      <c r="F223">
        <v>1</v>
      </c>
      <c r="G223">
        <v>29506949</v>
      </c>
      <c r="H223">
        <v>3</v>
      </c>
      <c r="I223" t="s">
        <v>876</v>
      </c>
      <c r="J223" t="s">
        <v>3</v>
      </c>
      <c r="K223" t="s">
        <v>877</v>
      </c>
      <c r="L223">
        <v>1301</v>
      </c>
      <c r="N223">
        <v>1003</v>
      </c>
      <c r="O223" t="s">
        <v>125</v>
      </c>
      <c r="P223" t="s">
        <v>125</v>
      </c>
      <c r="Q223">
        <v>1</v>
      </c>
      <c r="X223">
        <v>204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 t="s">
        <v>3</v>
      </c>
      <c r="AG223">
        <v>204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ROW(Source!A129)</f>
        <v>129</v>
      </c>
      <c r="B224">
        <v>53861245</v>
      </c>
      <c r="C224">
        <v>53860572</v>
      </c>
      <c r="D224">
        <v>29520029</v>
      </c>
      <c r="E224">
        <v>29506949</v>
      </c>
      <c r="F224">
        <v>1</v>
      </c>
      <c r="G224">
        <v>29506949</v>
      </c>
      <c r="H224">
        <v>3</v>
      </c>
      <c r="I224" t="s">
        <v>876</v>
      </c>
      <c r="J224" t="s">
        <v>3</v>
      </c>
      <c r="K224" t="s">
        <v>878</v>
      </c>
      <c r="L224">
        <v>1301</v>
      </c>
      <c r="N224">
        <v>1003</v>
      </c>
      <c r="O224" t="s">
        <v>125</v>
      </c>
      <c r="P224" t="s">
        <v>125</v>
      </c>
      <c r="Q224">
        <v>1</v>
      </c>
      <c r="X224">
        <v>76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 t="s">
        <v>3</v>
      </c>
      <c r="AG224">
        <v>76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ROW(Source!A129)</f>
        <v>129</v>
      </c>
      <c r="B225">
        <v>53861246</v>
      </c>
      <c r="C225">
        <v>53860572</v>
      </c>
      <c r="D225">
        <v>29520023</v>
      </c>
      <c r="E225">
        <v>29506949</v>
      </c>
      <c r="F225">
        <v>1</v>
      </c>
      <c r="G225">
        <v>29506949</v>
      </c>
      <c r="H225">
        <v>3</v>
      </c>
      <c r="I225" t="s">
        <v>848</v>
      </c>
      <c r="J225" t="s">
        <v>3</v>
      </c>
      <c r="K225" t="s">
        <v>849</v>
      </c>
      <c r="L225">
        <v>1327</v>
      </c>
      <c r="N225">
        <v>1005</v>
      </c>
      <c r="O225" t="s">
        <v>100</v>
      </c>
      <c r="P225" t="s">
        <v>100</v>
      </c>
      <c r="Q225">
        <v>1</v>
      </c>
      <c r="X225">
        <v>421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 t="s">
        <v>3</v>
      </c>
      <c r="AG225">
        <v>421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ROW(Source!A129)</f>
        <v>129</v>
      </c>
      <c r="B226">
        <v>53861247</v>
      </c>
      <c r="C226">
        <v>53860572</v>
      </c>
      <c r="D226">
        <v>29520439</v>
      </c>
      <c r="E226">
        <v>29506949</v>
      </c>
      <c r="F226">
        <v>1</v>
      </c>
      <c r="G226">
        <v>29506949</v>
      </c>
      <c r="H226">
        <v>3</v>
      </c>
      <c r="I226" t="s">
        <v>879</v>
      </c>
      <c r="J226" t="s">
        <v>3</v>
      </c>
      <c r="K226" t="s">
        <v>880</v>
      </c>
      <c r="L226">
        <v>1327</v>
      </c>
      <c r="N226">
        <v>1005</v>
      </c>
      <c r="O226" t="s">
        <v>100</v>
      </c>
      <c r="P226" t="s">
        <v>100</v>
      </c>
      <c r="Q226">
        <v>1</v>
      </c>
      <c r="X226">
        <v>103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 t="s">
        <v>3</v>
      </c>
      <c r="AG226">
        <v>103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ROW(Source!A135)</f>
        <v>135</v>
      </c>
      <c r="B227">
        <v>53861248</v>
      </c>
      <c r="C227">
        <v>53860583</v>
      </c>
      <c r="D227">
        <v>29506954</v>
      </c>
      <c r="E227">
        <v>29506949</v>
      </c>
      <c r="F227">
        <v>1</v>
      </c>
      <c r="G227">
        <v>29506949</v>
      </c>
      <c r="H227">
        <v>1</v>
      </c>
      <c r="I227" t="s">
        <v>638</v>
      </c>
      <c r="J227" t="s">
        <v>3</v>
      </c>
      <c r="K227" t="s">
        <v>639</v>
      </c>
      <c r="L227">
        <v>1191</v>
      </c>
      <c r="N227">
        <v>1013</v>
      </c>
      <c r="O227" t="s">
        <v>640</v>
      </c>
      <c r="P227" t="s">
        <v>640</v>
      </c>
      <c r="Q227">
        <v>1</v>
      </c>
      <c r="X227">
        <v>91.1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52</v>
      </c>
      <c r="AG227">
        <v>104.76499999999999</v>
      </c>
      <c r="AH227">
        <v>2</v>
      </c>
      <c r="AI227">
        <v>53860584</v>
      </c>
      <c r="AJ227">
        <v>136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ROW(Source!A135)</f>
        <v>135</v>
      </c>
      <c r="B228">
        <v>53861249</v>
      </c>
      <c r="C228">
        <v>53860583</v>
      </c>
      <c r="D228">
        <v>29580491</v>
      </c>
      <c r="E228">
        <v>1</v>
      </c>
      <c r="F228">
        <v>1</v>
      </c>
      <c r="G228">
        <v>29506949</v>
      </c>
      <c r="H228">
        <v>2</v>
      </c>
      <c r="I228" t="s">
        <v>650</v>
      </c>
      <c r="J228" t="s">
        <v>651</v>
      </c>
      <c r="K228" t="s">
        <v>652</v>
      </c>
      <c r="L228">
        <v>1368</v>
      </c>
      <c r="N228">
        <v>1011</v>
      </c>
      <c r="O228" t="s">
        <v>647</v>
      </c>
      <c r="P228" t="s">
        <v>647</v>
      </c>
      <c r="Q228">
        <v>1</v>
      </c>
      <c r="X228">
        <v>0.32</v>
      </c>
      <c r="Y228">
        <v>0</v>
      </c>
      <c r="Z228">
        <v>83.1</v>
      </c>
      <c r="AA228">
        <v>12.62</v>
      </c>
      <c r="AB228">
        <v>0</v>
      </c>
      <c r="AC228">
        <v>0</v>
      </c>
      <c r="AD228">
        <v>1</v>
      </c>
      <c r="AE228">
        <v>0</v>
      </c>
      <c r="AF228" t="s">
        <v>51</v>
      </c>
      <c r="AG228">
        <v>0.4</v>
      </c>
      <c r="AH228">
        <v>2</v>
      </c>
      <c r="AI228">
        <v>53860585</v>
      </c>
      <c r="AJ228">
        <v>137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ROW(Source!A135)</f>
        <v>135</v>
      </c>
      <c r="B229">
        <v>53861251</v>
      </c>
      <c r="C229">
        <v>53860583</v>
      </c>
      <c r="D229">
        <v>29580614</v>
      </c>
      <c r="E229">
        <v>1</v>
      </c>
      <c r="F229">
        <v>1</v>
      </c>
      <c r="G229">
        <v>29506949</v>
      </c>
      <c r="H229">
        <v>2</v>
      </c>
      <c r="I229" t="s">
        <v>682</v>
      </c>
      <c r="J229" t="s">
        <v>683</v>
      </c>
      <c r="K229" t="s">
        <v>684</v>
      </c>
      <c r="L229">
        <v>1368</v>
      </c>
      <c r="N229">
        <v>1011</v>
      </c>
      <c r="O229" t="s">
        <v>647</v>
      </c>
      <c r="P229" t="s">
        <v>647</v>
      </c>
      <c r="Q229">
        <v>1</v>
      </c>
      <c r="X229">
        <v>0.61</v>
      </c>
      <c r="Y229">
        <v>0</v>
      </c>
      <c r="Z229">
        <v>1.1100000000000001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51</v>
      </c>
      <c r="AG229">
        <v>0.76249999999999996</v>
      </c>
      <c r="AH229">
        <v>2</v>
      </c>
      <c r="AI229">
        <v>53860587</v>
      </c>
      <c r="AJ229">
        <v>138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ROW(Source!A135)</f>
        <v>135</v>
      </c>
      <c r="B230">
        <v>53861252</v>
      </c>
      <c r="C230">
        <v>53860583</v>
      </c>
      <c r="D230">
        <v>29580549</v>
      </c>
      <c r="E230">
        <v>1</v>
      </c>
      <c r="F230">
        <v>1</v>
      </c>
      <c r="G230">
        <v>29506949</v>
      </c>
      <c r="H230">
        <v>2</v>
      </c>
      <c r="I230" t="s">
        <v>685</v>
      </c>
      <c r="J230" t="s">
        <v>686</v>
      </c>
      <c r="K230" t="s">
        <v>687</v>
      </c>
      <c r="L230">
        <v>1368</v>
      </c>
      <c r="N230">
        <v>1011</v>
      </c>
      <c r="O230" t="s">
        <v>647</v>
      </c>
      <c r="P230" t="s">
        <v>647</v>
      </c>
      <c r="Q230">
        <v>1</v>
      </c>
      <c r="X230">
        <v>0.14000000000000001</v>
      </c>
      <c r="Y230">
        <v>0</v>
      </c>
      <c r="Z230">
        <v>0.39</v>
      </c>
      <c r="AA230">
        <v>0</v>
      </c>
      <c r="AB230">
        <v>0</v>
      </c>
      <c r="AC230">
        <v>0</v>
      </c>
      <c r="AD230">
        <v>1</v>
      </c>
      <c r="AE230">
        <v>0</v>
      </c>
      <c r="AF230" t="s">
        <v>51</v>
      </c>
      <c r="AG230">
        <v>0.17500000000000002</v>
      </c>
      <c r="AH230">
        <v>2</v>
      </c>
      <c r="AI230">
        <v>53860588</v>
      </c>
      <c r="AJ230">
        <v>139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ROW(Source!A135)</f>
        <v>135</v>
      </c>
      <c r="B231">
        <v>53861253</v>
      </c>
      <c r="C231">
        <v>53860583</v>
      </c>
      <c r="D231">
        <v>29580571</v>
      </c>
      <c r="E231">
        <v>1</v>
      </c>
      <c r="F231">
        <v>1</v>
      </c>
      <c r="G231">
        <v>29506949</v>
      </c>
      <c r="H231">
        <v>2</v>
      </c>
      <c r="I231" t="s">
        <v>644</v>
      </c>
      <c r="J231" t="s">
        <v>645</v>
      </c>
      <c r="K231" t="s">
        <v>646</v>
      </c>
      <c r="L231">
        <v>1368</v>
      </c>
      <c r="N231">
        <v>1011</v>
      </c>
      <c r="O231" t="s">
        <v>647</v>
      </c>
      <c r="P231" t="s">
        <v>647</v>
      </c>
      <c r="Q231">
        <v>1</v>
      </c>
      <c r="X231">
        <v>2</v>
      </c>
      <c r="Y231">
        <v>0</v>
      </c>
      <c r="Z231">
        <v>0.47</v>
      </c>
      <c r="AA231">
        <v>0</v>
      </c>
      <c r="AB231">
        <v>0</v>
      </c>
      <c r="AC231">
        <v>0</v>
      </c>
      <c r="AD231">
        <v>1</v>
      </c>
      <c r="AE231">
        <v>0</v>
      </c>
      <c r="AF231" t="s">
        <v>51</v>
      </c>
      <c r="AG231">
        <v>2.5</v>
      </c>
      <c r="AH231">
        <v>2</v>
      </c>
      <c r="AI231">
        <v>53860589</v>
      </c>
      <c r="AJ231">
        <v>140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ROW(Source!A135)</f>
        <v>135</v>
      </c>
      <c r="B232">
        <v>53861250</v>
      </c>
      <c r="C232">
        <v>53860583</v>
      </c>
      <c r="D232">
        <v>29579738</v>
      </c>
      <c r="E232">
        <v>1</v>
      </c>
      <c r="F232">
        <v>1</v>
      </c>
      <c r="G232">
        <v>29506949</v>
      </c>
      <c r="H232">
        <v>2</v>
      </c>
      <c r="I232" t="s">
        <v>665</v>
      </c>
      <c r="J232" t="s">
        <v>666</v>
      </c>
      <c r="K232" t="s">
        <v>667</v>
      </c>
      <c r="L232">
        <v>1368</v>
      </c>
      <c r="N232">
        <v>1011</v>
      </c>
      <c r="O232" t="s">
        <v>647</v>
      </c>
      <c r="P232" t="s">
        <v>647</v>
      </c>
      <c r="Q232">
        <v>1</v>
      </c>
      <c r="X232">
        <v>0.32</v>
      </c>
      <c r="Y232">
        <v>0</v>
      </c>
      <c r="Z232">
        <v>179.17</v>
      </c>
      <c r="AA232">
        <v>16.93</v>
      </c>
      <c r="AB232">
        <v>0</v>
      </c>
      <c r="AC232">
        <v>0</v>
      </c>
      <c r="AD232">
        <v>1</v>
      </c>
      <c r="AE232">
        <v>0</v>
      </c>
      <c r="AF232" t="s">
        <v>51</v>
      </c>
      <c r="AG232">
        <v>0.4</v>
      </c>
      <c r="AH232">
        <v>2</v>
      </c>
      <c r="AI232">
        <v>53860586</v>
      </c>
      <c r="AJ232">
        <v>141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ROW(Source!A135)</f>
        <v>135</v>
      </c>
      <c r="B233">
        <v>53861254</v>
      </c>
      <c r="C233">
        <v>53860583</v>
      </c>
      <c r="D233">
        <v>29558353</v>
      </c>
      <c r="E233">
        <v>1</v>
      </c>
      <c r="F233">
        <v>1</v>
      </c>
      <c r="G233">
        <v>29506949</v>
      </c>
      <c r="H233">
        <v>3</v>
      </c>
      <c r="I233" t="s">
        <v>727</v>
      </c>
      <c r="J233" t="s">
        <v>728</v>
      </c>
      <c r="K233" t="s">
        <v>729</v>
      </c>
      <c r="L233">
        <v>1346</v>
      </c>
      <c r="N233">
        <v>1009</v>
      </c>
      <c r="O233" t="s">
        <v>58</v>
      </c>
      <c r="P233" t="s">
        <v>58</v>
      </c>
      <c r="Q233">
        <v>1</v>
      </c>
      <c r="X233">
        <v>10</v>
      </c>
      <c r="Y233">
        <v>17.309999999999999</v>
      </c>
      <c r="Z233">
        <v>0</v>
      </c>
      <c r="AA233">
        <v>0</v>
      </c>
      <c r="AB233">
        <v>0</v>
      </c>
      <c r="AC233">
        <v>0</v>
      </c>
      <c r="AD233">
        <v>1</v>
      </c>
      <c r="AE233">
        <v>0</v>
      </c>
      <c r="AF233" t="s">
        <v>3</v>
      </c>
      <c r="AG233">
        <v>10</v>
      </c>
      <c r="AH233">
        <v>2</v>
      </c>
      <c r="AI233">
        <v>53860590</v>
      </c>
      <c r="AJ233">
        <v>142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ROW(Source!A135)</f>
        <v>135</v>
      </c>
      <c r="B234">
        <v>53861255</v>
      </c>
      <c r="C234">
        <v>53860583</v>
      </c>
      <c r="D234">
        <v>29558790</v>
      </c>
      <c r="E234">
        <v>1</v>
      </c>
      <c r="F234">
        <v>1</v>
      </c>
      <c r="G234">
        <v>29506949</v>
      </c>
      <c r="H234">
        <v>3</v>
      </c>
      <c r="I234" t="s">
        <v>730</v>
      </c>
      <c r="J234" t="s">
        <v>731</v>
      </c>
      <c r="K234" t="s">
        <v>732</v>
      </c>
      <c r="L234">
        <v>1354</v>
      </c>
      <c r="N234">
        <v>1010</v>
      </c>
      <c r="O234" t="s">
        <v>536</v>
      </c>
      <c r="P234" t="s">
        <v>536</v>
      </c>
      <c r="Q234">
        <v>1</v>
      </c>
      <c r="X234">
        <v>7</v>
      </c>
      <c r="Y234">
        <v>15.36</v>
      </c>
      <c r="Z234">
        <v>0</v>
      </c>
      <c r="AA234">
        <v>0</v>
      </c>
      <c r="AB234">
        <v>0</v>
      </c>
      <c r="AC234">
        <v>0</v>
      </c>
      <c r="AD234">
        <v>1</v>
      </c>
      <c r="AE234">
        <v>0</v>
      </c>
      <c r="AF234" t="s">
        <v>3</v>
      </c>
      <c r="AG234">
        <v>7</v>
      </c>
      <c r="AH234">
        <v>2</v>
      </c>
      <c r="AI234">
        <v>53860591</v>
      </c>
      <c r="AJ234">
        <v>143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ROW(Source!A135)</f>
        <v>135</v>
      </c>
      <c r="B235">
        <v>53861256</v>
      </c>
      <c r="C235">
        <v>53860583</v>
      </c>
      <c r="D235">
        <v>29558791</v>
      </c>
      <c r="E235">
        <v>1</v>
      </c>
      <c r="F235">
        <v>1</v>
      </c>
      <c r="G235">
        <v>29506949</v>
      </c>
      <c r="H235">
        <v>3</v>
      </c>
      <c r="I235" t="s">
        <v>691</v>
      </c>
      <c r="J235" t="s">
        <v>692</v>
      </c>
      <c r="K235" t="s">
        <v>693</v>
      </c>
      <c r="L235">
        <v>1301</v>
      </c>
      <c r="N235">
        <v>1003</v>
      </c>
      <c r="O235" t="s">
        <v>125</v>
      </c>
      <c r="P235" t="s">
        <v>125</v>
      </c>
      <c r="Q235">
        <v>1</v>
      </c>
      <c r="X235">
        <v>120</v>
      </c>
      <c r="Y235">
        <v>0.89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</v>
      </c>
      <c r="AG235">
        <v>120</v>
      </c>
      <c r="AH235">
        <v>2</v>
      </c>
      <c r="AI235">
        <v>53860592</v>
      </c>
      <c r="AJ235">
        <v>144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ROW(Source!A135)</f>
        <v>135</v>
      </c>
      <c r="B236">
        <v>53861257</v>
      </c>
      <c r="C236">
        <v>53860583</v>
      </c>
      <c r="D236">
        <v>29558792</v>
      </c>
      <c r="E236">
        <v>1</v>
      </c>
      <c r="F236">
        <v>1</v>
      </c>
      <c r="G236">
        <v>29506949</v>
      </c>
      <c r="H236">
        <v>3</v>
      </c>
      <c r="I236" t="s">
        <v>694</v>
      </c>
      <c r="J236" t="s">
        <v>695</v>
      </c>
      <c r="K236" t="s">
        <v>696</v>
      </c>
      <c r="L236">
        <v>1301</v>
      </c>
      <c r="N236">
        <v>1003</v>
      </c>
      <c r="O236" t="s">
        <v>125</v>
      </c>
      <c r="P236" t="s">
        <v>125</v>
      </c>
      <c r="Q236">
        <v>1</v>
      </c>
      <c r="X236">
        <v>82</v>
      </c>
      <c r="Y236">
        <v>1.62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0</v>
      </c>
      <c r="AF236" t="s">
        <v>3</v>
      </c>
      <c r="AG236">
        <v>82</v>
      </c>
      <c r="AH236">
        <v>2</v>
      </c>
      <c r="AI236">
        <v>53860593</v>
      </c>
      <c r="AJ236">
        <v>145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ROW(Source!A135)</f>
        <v>135</v>
      </c>
      <c r="B237">
        <v>53861258</v>
      </c>
      <c r="C237">
        <v>53860583</v>
      </c>
      <c r="D237">
        <v>29558797</v>
      </c>
      <c r="E237">
        <v>1</v>
      </c>
      <c r="F237">
        <v>1</v>
      </c>
      <c r="G237">
        <v>29506949</v>
      </c>
      <c r="H237">
        <v>3</v>
      </c>
      <c r="I237" t="s">
        <v>700</v>
      </c>
      <c r="J237" t="s">
        <v>701</v>
      </c>
      <c r="K237" t="s">
        <v>702</v>
      </c>
      <c r="L237">
        <v>1355</v>
      </c>
      <c r="N237">
        <v>1010</v>
      </c>
      <c r="O237" t="s">
        <v>129</v>
      </c>
      <c r="P237" t="s">
        <v>129</v>
      </c>
      <c r="Q237">
        <v>100</v>
      </c>
      <c r="X237">
        <v>7.35</v>
      </c>
      <c r="Y237">
        <v>4.2699999999999996</v>
      </c>
      <c r="Z237">
        <v>0</v>
      </c>
      <c r="AA237">
        <v>0</v>
      </c>
      <c r="AB237">
        <v>0</v>
      </c>
      <c r="AC237">
        <v>0</v>
      </c>
      <c r="AD237">
        <v>1</v>
      </c>
      <c r="AE237">
        <v>0</v>
      </c>
      <c r="AF237" t="s">
        <v>3</v>
      </c>
      <c r="AG237">
        <v>7.35</v>
      </c>
      <c r="AH237">
        <v>2</v>
      </c>
      <c r="AI237">
        <v>53860594</v>
      </c>
      <c r="AJ237">
        <v>147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ROW(Source!A135)</f>
        <v>135</v>
      </c>
      <c r="B238">
        <v>53861259</v>
      </c>
      <c r="C238">
        <v>53860583</v>
      </c>
      <c r="D238">
        <v>29558798</v>
      </c>
      <c r="E238">
        <v>1</v>
      </c>
      <c r="F238">
        <v>1</v>
      </c>
      <c r="G238">
        <v>29506949</v>
      </c>
      <c r="H238">
        <v>3</v>
      </c>
      <c r="I238" t="s">
        <v>733</v>
      </c>
      <c r="J238" t="s">
        <v>734</v>
      </c>
      <c r="K238" t="s">
        <v>735</v>
      </c>
      <c r="L238">
        <v>1355</v>
      </c>
      <c r="N238">
        <v>1010</v>
      </c>
      <c r="O238" t="s">
        <v>129</v>
      </c>
      <c r="P238" t="s">
        <v>129</v>
      </c>
      <c r="Q238">
        <v>100</v>
      </c>
      <c r="X238">
        <v>18.55</v>
      </c>
      <c r="Y238">
        <v>5.59</v>
      </c>
      <c r="Z238">
        <v>0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</v>
      </c>
      <c r="AG238">
        <v>18.55</v>
      </c>
      <c r="AH238">
        <v>2</v>
      </c>
      <c r="AI238">
        <v>53860595</v>
      </c>
      <c r="AJ238">
        <v>148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ROW(Source!A135)</f>
        <v>135</v>
      </c>
      <c r="B239">
        <v>53861260</v>
      </c>
      <c r="C239">
        <v>53860583</v>
      </c>
      <c r="D239">
        <v>29558800</v>
      </c>
      <c r="E239">
        <v>1</v>
      </c>
      <c r="F239">
        <v>1</v>
      </c>
      <c r="G239">
        <v>29506949</v>
      </c>
      <c r="H239">
        <v>3</v>
      </c>
      <c r="I239" t="s">
        <v>703</v>
      </c>
      <c r="J239" t="s">
        <v>704</v>
      </c>
      <c r="K239" t="s">
        <v>705</v>
      </c>
      <c r="L239">
        <v>1355</v>
      </c>
      <c r="N239">
        <v>1010</v>
      </c>
      <c r="O239" t="s">
        <v>129</v>
      </c>
      <c r="P239" t="s">
        <v>129</v>
      </c>
      <c r="Q239">
        <v>100</v>
      </c>
      <c r="X239">
        <v>1.53</v>
      </c>
      <c r="Y239">
        <v>43.81</v>
      </c>
      <c r="Z239">
        <v>0</v>
      </c>
      <c r="AA239">
        <v>0</v>
      </c>
      <c r="AB239">
        <v>0</v>
      </c>
      <c r="AC239">
        <v>0</v>
      </c>
      <c r="AD239">
        <v>1</v>
      </c>
      <c r="AE239">
        <v>0</v>
      </c>
      <c r="AF239" t="s">
        <v>3</v>
      </c>
      <c r="AG239">
        <v>1.53</v>
      </c>
      <c r="AH239">
        <v>2</v>
      </c>
      <c r="AI239">
        <v>53860596</v>
      </c>
      <c r="AJ239">
        <v>149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ROW(Source!A135)</f>
        <v>135</v>
      </c>
      <c r="B240">
        <v>53861261</v>
      </c>
      <c r="C240">
        <v>53860583</v>
      </c>
      <c r="D240">
        <v>29574265</v>
      </c>
      <c r="E240">
        <v>1</v>
      </c>
      <c r="F240">
        <v>1</v>
      </c>
      <c r="G240">
        <v>29506949</v>
      </c>
      <c r="H240">
        <v>3</v>
      </c>
      <c r="I240" t="s">
        <v>706</v>
      </c>
      <c r="J240" t="s">
        <v>707</v>
      </c>
      <c r="K240" t="s">
        <v>708</v>
      </c>
      <c r="L240">
        <v>1346</v>
      </c>
      <c r="N240">
        <v>1009</v>
      </c>
      <c r="O240" t="s">
        <v>58</v>
      </c>
      <c r="P240" t="s">
        <v>58</v>
      </c>
      <c r="Q240">
        <v>1</v>
      </c>
      <c r="X240">
        <v>9</v>
      </c>
      <c r="Y240">
        <v>14.88</v>
      </c>
      <c r="Z240">
        <v>0</v>
      </c>
      <c r="AA240">
        <v>0</v>
      </c>
      <c r="AB240">
        <v>0</v>
      </c>
      <c r="AC240">
        <v>0</v>
      </c>
      <c r="AD240">
        <v>1</v>
      </c>
      <c r="AE240">
        <v>0</v>
      </c>
      <c r="AF240" t="s">
        <v>3</v>
      </c>
      <c r="AG240">
        <v>9</v>
      </c>
      <c r="AH240">
        <v>2</v>
      </c>
      <c r="AI240">
        <v>53860597</v>
      </c>
      <c r="AJ240">
        <v>151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ROW(Source!A135)</f>
        <v>135</v>
      </c>
      <c r="B241">
        <v>53861262</v>
      </c>
      <c r="C241">
        <v>53860583</v>
      </c>
      <c r="D241">
        <v>29574266</v>
      </c>
      <c r="E241">
        <v>1</v>
      </c>
      <c r="F241">
        <v>1</v>
      </c>
      <c r="G241">
        <v>29506949</v>
      </c>
      <c r="H241">
        <v>3</v>
      </c>
      <c r="I241" t="s">
        <v>736</v>
      </c>
      <c r="J241" t="s">
        <v>737</v>
      </c>
      <c r="K241" t="s">
        <v>738</v>
      </c>
      <c r="L241">
        <v>1346</v>
      </c>
      <c r="N241">
        <v>1009</v>
      </c>
      <c r="O241" t="s">
        <v>58</v>
      </c>
      <c r="P241" t="s">
        <v>58</v>
      </c>
      <c r="Q241">
        <v>1</v>
      </c>
      <c r="X241">
        <v>119</v>
      </c>
      <c r="Y241">
        <v>4.55</v>
      </c>
      <c r="Z241">
        <v>0</v>
      </c>
      <c r="AA241">
        <v>0</v>
      </c>
      <c r="AB241">
        <v>0</v>
      </c>
      <c r="AC241">
        <v>0</v>
      </c>
      <c r="AD241">
        <v>1</v>
      </c>
      <c r="AE241">
        <v>0</v>
      </c>
      <c r="AF241" t="s">
        <v>3</v>
      </c>
      <c r="AG241">
        <v>119</v>
      </c>
      <c r="AH241">
        <v>2</v>
      </c>
      <c r="AI241">
        <v>53860598</v>
      </c>
      <c r="AJ241">
        <v>152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ROW(Source!A135)</f>
        <v>135</v>
      </c>
      <c r="B242">
        <v>53861263</v>
      </c>
      <c r="C242">
        <v>53860583</v>
      </c>
      <c r="D242">
        <v>29574151</v>
      </c>
      <c r="E242">
        <v>1</v>
      </c>
      <c r="F242">
        <v>1</v>
      </c>
      <c r="G242">
        <v>29506949</v>
      </c>
      <c r="H242">
        <v>3</v>
      </c>
      <c r="I242" t="s">
        <v>709</v>
      </c>
      <c r="J242" t="s">
        <v>710</v>
      </c>
      <c r="K242" t="s">
        <v>711</v>
      </c>
      <c r="L242">
        <v>1346</v>
      </c>
      <c r="N242">
        <v>1009</v>
      </c>
      <c r="O242" t="s">
        <v>58</v>
      </c>
      <c r="P242" t="s">
        <v>58</v>
      </c>
      <c r="Q242">
        <v>1</v>
      </c>
      <c r="X242">
        <v>85</v>
      </c>
      <c r="Y242">
        <v>5.19</v>
      </c>
      <c r="Z242">
        <v>0</v>
      </c>
      <c r="AA242">
        <v>0</v>
      </c>
      <c r="AB242">
        <v>0</v>
      </c>
      <c r="AC242">
        <v>0</v>
      </c>
      <c r="AD242">
        <v>1</v>
      </c>
      <c r="AE242">
        <v>0</v>
      </c>
      <c r="AF242" t="s">
        <v>3</v>
      </c>
      <c r="AG242">
        <v>85</v>
      </c>
      <c r="AH242">
        <v>2</v>
      </c>
      <c r="AI242">
        <v>53860599</v>
      </c>
      <c r="AJ242">
        <v>153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ROW(Source!A135)</f>
        <v>135</v>
      </c>
      <c r="B243">
        <v>53861264</v>
      </c>
      <c r="C243">
        <v>53860583</v>
      </c>
      <c r="D243">
        <v>29577894</v>
      </c>
      <c r="E243">
        <v>1</v>
      </c>
      <c r="F243">
        <v>1</v>
      </c>
      <c r="G243">
        <v>29506949</v>
      </c>
      <c r="H243">
        <v>3</v>
      </c>
      <c r="I243" t="s">
        <v>739</v>
      </c>
      <c r="J243" t="s">
        <v>740</v>
      </c>
      <c r="K243" t="s">
        <v>741</v>
      </c>
      <c r="L243">
        <v>1348</v>
      </c>
      <c r="N243">
        <v>1009</v>
      </c>
      <c r="O243" t="s">
        <v>75</v>
      </c>
      <c r="P243" t="s">
        <v>75</v>
      </c>
      <c r="Q243">
        <v>1000</v>
      </c>
      <c r="X243">
        <v>1.1039999999999999E-2</v>
      </c>
      <c r="Y243">
        <v>60883.49</v>
      </c>
      <c r="Z243">
        <v>0</v>
      </c>
      <c r="AA243">
        <v>0</v>
      </c>
      <c r="AB243">
        <v>0</v>
      </c>
      <c r="AC243">
        <v>0</v>
      </c>
      <c r="AD243">
        <v>1</v>
      </c>
      <c r="AE243">
        <v>0</v>
      </c>
      <c r="AF243" t="s">
        <v>3</v>
      </c>
      <c r="AG243">
        <v>1.1039999999999999E-2</v>
      </c>
      <c r="AH243">
        <v>2</v>
      </c>
      <c r="AI243">
        <v>53860600</v>
      </c>
      <c r="AJ243">
        <v>154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ROW(Source!A135)</f>
        <v>135</v>
      </c>
      <c r="B244">
        <v>53861265</v>
      </c>
      <c r="C244">
        <v>53860583</v>
      </c>
      <c r="D244">
        <v>29522437</v>
      </c>
      <c r="E244">
        <v>29506949</v>
      </c>
      <c r="F244">
        <v>1</v>
      </c>
      <c r="G244">
        <v>29506949</v>
      </c>
      <c r="H244">
        <v>3</v>
      </c>
      <c r="I244" t="s">
        <v>844</v>
      </c>
      <c r="J244" t="s">
        <v>3</v>
      </c>
      <c r="K244" t="s">
        <v>875</v>
      </c>
      <c r="L244">
        <v>1301</v>
      </c>
      <c r="N244">
        <v>1003</v>
      </c>
      <c r="O244" t="s">
        <v>125</v>
      </c>
      <c r="P244" t="s">
        <v>125</v>
      </c>
      <c r="Q244">
        <v>1</v>
      </c>
      <c r="X244">
        <v>116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 t="s">
        <v>3</v>
      </c>
      <c r="AG244">
        <v>116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ROW(Source!A135)</f>
        <v>135</v>
      </c>
      <c r="B245">
        <v>53861266</v>
      </c>
      <c r="C245">
        <v>53860583</v>
      </c>
      <c r="D245">
        <v>29520029</v>
      </c>
      <c r="E245">
        <v>29506949</v>
      </c>
      <c r="F245">
        <v>1</v>
      </c>
      <c r="G245">
        <v>29506949</v>
      </c>
      <c r="H245">
        <v>3</v>
      </c>
      <c r="I245" t="s">
        <v>876</v>
      </c>
      <c r="J245" t="s">
        <v>3</v>
      </c>
      <c r="K245" t="s">
        <v>878</v>
      </c>
      <c r="L245">
        <v>1301</v>
      </c>
      <c r="N245">
        <v>1003</v>
      </c>
      <c r="O245" t="s">
        <v>125</v>
      </c>
      <c r="P245" t="s">
        <v>125</v>
      </c>
      <c r="Q245">
        <v>1</v>
      </c>
      <c r="X245">
        <v>88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 t="s">
        <v>3</v>
      </c>
      <c r="AG245">
        <v>88</v>
      </c>
      <c r="AH245">
        <v>3</v>
      </c>
      <c r="AI245">
        <v>-1</v>
      </c>
      <c r="AJ245" t="s">
        <v>3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ROW(Source!A135)</f>
        <v>135</v>
      </c>
      <c r="B246">
        <v>53861267</v>
      </c>
      <c r="C246">
        <v>53860583</v>
      </c>
      <c r="D246">
        <v>29521996</v>
      </c>
      <c r="E246">
        <v>29506949</v>
      </c>
      <c r="F246">
        <v>1</v>
      </c>
      <c r="G246">
        <v>29506949</v>
      </c>
      <c r="H246">
        <v>3</v>
      </c>
      <c r="I246" t="s">
        <v>876</v>
      </c>
      <c r="J246" t="s">
        <v>3</v>
      </c>
      <c r="K246" t="s">
        <v>881</v>
      </c>
      <c r="L246">
        <v>1301</v>
      </c>
      <c r="N246">
        <v>1003</v>
      </c>
      <c r="O246" t="s">
        <v>125</v>
      </c>
      <c r="P246" t="s">
        <v>125</v>
      </c>
      <c r="Q246">
        <v>1</v>
      </c>
      <c r="X246">
        <v>225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 t="s">
        <v>3</v>
      </c>
      <c r="AG246">
        <v>225</v>
      </c>
      <c r="AH246">
        <v>3</v>
      </c>
      <c r="AI246">
        <v>-1</v>
      </c>
      <c r="AJ246" t="s">
        <v>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ROW(Source!A135)</f>
        <v>135</v>
      </c>
      <c r="B247">
        <v>53861268</v>
      </c>
      <c r="C247">
        <v>53860583</v>
      </c>
      <c r="D247">
        <v>29520023</v>
      </c>
      <c r="E247">
        <v>29506949</v>
      </c>
      <c r="F247">
        <v>1</v>
      </c>
      <c r="G247">
        <v>29506949</v>
      </c>
      <c r="H247">
        <v>3</v>
      </c>
      <c r="I247" t="s">
        <v>848</v>
      </c>
      <c r="J247" t="s">
        <v>3</v>
      </c>
      <c r="K247" t="s">
        <v>849</v>
      </c>
      <c r="L247">
        <v>1327</v>
      </c>
      <c r="N247">
        <v>1005</v>
      </c>
      <c r="O247" t="s">
        <v>100</v>
      </c>
      <c r="P247" t="s">
        <v>100</v>
      </c>
      <c r="Q247">
        <v>1</v>
      </c>
      <c r="X247">
        <v>212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 t="s">
        <v>3</v>
      </c>
      <c r="AG247">
        <v>212</v>
      </c>
      <c r="AH247">
        <v>3</v>
      </c>
      <c r="AI247">
        <v>-1</v>
      </c>
      <c r="AJ247" t="s">
        <v>3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ROW(Source!A140)</f>
        <v>140</v>
      </c>
      <c r="B248">
        <v>53861269</v>
      </c>
      <c r="C248">
        <v>53860630</v>
      </c>
      <c r="D248">
        <v>29506954</v>
      </c>
      <c r="E248">
        <v>29506949</v>
      </c>
      <c r="F248">
        <v>1</v>
      </c>
      <c r="G248">
        <v>29506949</v>
      </c>
      <c r="H248">
        <v>1</v>
      </c>
      <c r="I248" t="s">
        <v>638</v>
      </c>
      <c r="J248" t="s">
        <v>3</v>
      </c>
      <c r="K248" t="s">
        <v>639</v>
      </c>
      <c r="L248">
        <v>1191</v>
      </c>
      <c r="N248">
        <v>1013</v>
      </c>
      <c r="O248" t="s">
        <v>640</v>
      </c>
      <c r="P248" t="s">
        <v>640</v>
      </c>
      <c r="Q248">
        <v>1</v>
      </c>
      <c r="X248">
        <v>10.58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52</v>
      </c>
      <c r="AG248">
        <v>12.167</v>
      </c>
      <c r="AH248">
        <v>2</v>
      </c>
      <c r="AI248">
        <v>53860631</v>
      </c>
      <c r="AJ248">
        <v>157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ROW(Source!A140)</f>
        <v>140</v>
      </c>
      <c r="B249">
        <v>53861270</v>
      </c>
      <c r="C249">
        <v>53860630</v>
      </c>
      <c r="D249">
        <v>29580491</v>
      </c>
      <c r="E249">
        <v>1</v>
      </c>
      <c r="F249">
        <v>1</v>
      </c>
      <c r="G249">
        <v>29506949</v>
      </c>
      <c r="H249">
        <v>2</v>
      </c>
      <c r="I249" t="s">
        <v>650</v>
      </c>
      <c r="J249" t="s">
        <v>651</v>
      </c>
      <c r="K249" t="s">
        <v>652</v>
      </c>
      <c r="L249">
        <v>1368</v>
      </c>
      <c r="N249">
        <v>1011</v>
      </c>
      <c r="O249" t="s">
        <v>647</v>
      </c>
      <c r="P249" t="s">
        <v>647</v>
      </c>
      <c r="Q249">
        <v>1</v>
      </c>
      <c r="X249">
        <v>0.55000000000000004</v>
      </c>
      <c r="Y249">
        <v>0</v>
      </c>
      <c r="Z249">
        <v>83.1</v>
      </c>
      <c r="AA249">
        <v>12.62</v>
      </c>
      <c r="AB249">
        <v>0</v>
      </c>
      <c r="AC249">
        <v>0</v>
      </c>
      <c r="AD249">
        <v>1</v>
      </c>
      <c r="AE249">
        <v>0</v>
      </c>
      <c r="AF249" t="s">
        <v>51</v>
      </c>
      <c r="AG249">
        <v>0.6875</v>
      </c>
      <c r="AH249">
        <v>2</v>
      </c>
      <c r="AI249">
        <v>53860632</v>
      </c>
      <c r="AJ249">
        <v>158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ROW(Source!A140)</f>
        <v>140</v>
      </c>
      <c r="B250">
        <v>53861271</v>
      </c>
      <c r="C250">
        <v>53860630</v>
      </c>
      <c r="D250">
        <v>29579847</v>
      </c>
      <c r="E250">
        <v>1</v>
      </c>
      <c r="F250">
        <v>1</v>
      </c>
      <c r="G250">
        <v>29506949</v>
      </c>
      <c r="H250">
        <v>2</v>
      </c>
      <c r="I250" t="s">
        <v>751</v>
      </c>
      <c r="J250" t="s">
        <v>752</v>
      </c>
      <c r="K250" t="s">
        <v>753</v>
      </c>
      <c r="L250">
        <v>1368</v>
      </c>
      <c r="N250">
        <v>1011</v>
      </c>
      <c r="O250" t="s">
        <v>647</v>
      </c>
      <c r="P250" t="s">
        <v>647</v>
      </c>
      <c r="Q250">
        <v>1</v>
      </c>
      <c r="X250">
        <v>0.65</v>
      </c>
      <c r="Y250">
        <v>0</v>
      </c>
      <c r="Z250">
        <v>3.18</v>
      </c>
      <c r="AA250">
        <v>0</v>
      </c>
      <c r="AB250">
        <v>0</v>
      </c>
      <c r="AC250">
        <v>0</v>
      </c>
      <c r="AD250">
        <v>1</v>
      </c>
      <c r="AE250">
        <v>0</v>
      </c>
      <c r="AF250" t="s">
        <v>51</v>
      </c>
      <c r="AG250">
        <v>0.8125</v>
      </c>
      <c r="AH250">
        <v>2</v>
      </c>
      <c r="AI250">
        <v>53860633</v>
      </c>
      <c r="AJ250">
        <v>159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ROW(Source!A140)</f>
        <v>140</v>
      </c>
      <c r="B251">
        <v>53861272</v>
      </c>
      <c r="C251">
        <v>53860630</v>
      </c>
      <c r="D251">
        <v>29507683</v>
      </c>
      <c r="E251">
        <v>29506949</v>
      </c>
      <c r="F251">
        <v>1</v>
      </c>
      <c r="G251">
        <v>29506949</v>
      </c>
      <c r="H251">
        <v>2</v>
      </c>
      <c r="I251" t="s">
        <v>641</v>
      </c>
      <c r="J251" t="s">
        <v>3</v>
      </c>
      <c r="K251" t="s">
        <v>642</v>
      </c>
      <c r="L251">
        <v>1344</v>
      </c>
      <c r="N251">
        <v>1008</v>
      </c>
      <c r="O251" t="s">
        <v>643</v>
      </c>
      <c r="P251" t="s">
        <v>643</v>
      </c>
      <c r="Q251">
        <v>1</v>
      </c>
      <c r="X251">
        <v>0.01</v>
      </c>
      <c r="Y251">
        <v>0</v>
      </c>
      <c r="Z251">
        <v>1</v>
      </c>
      <c r="AA251">
        <v>0</v>
      </c>
      <c r="AB251">
        <v>0</v>
      </c>
      <c r="AC251">
        <v>0</v>
      </c>
      <c r="AD251">
        <v>1</v>
      </c>
      <c r="AE251">
        <v>0</v>
      </c>
      <c r="AF251" t="s">
        <v>51</v>
      </c>
      <c r="AG251">
        <v>1.2500000000000001E-2</v>
      </c>
      <c r="AH251">
        <v>2</v>
      </c>
      <c r="AI251">
        <v>53860634</v>
      </c>
      <c r="AJ251">
        <v>160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ROW(Source!A140)</f>
        <v>140</v>
      </c>
      <c r="B252">
        <v>53861273</v>
      </c>
      <c r="C252">
        <v>53860630</v>
      </c>
      <c r="D252">
        <v>29529495</v>
      </c>
      <c r="E252">
        <v>29506949</v>
      </c>
      <c r="F252">
        <v>1</v>
      </c>
      <c r="G252">
        <v>29506949</v>
      </c>
      <c r="H252">
        <v>3</v>
      </c>
      <c r="I252" t="s">
        <v>879</v>
      </c>
      <c r="J252" t="s">
        <v>3</v>
      </c>
      <c r="K252" t="s">
        <v>909</v>
      </c>
      <c r="L252">
        <v>1339</v>
      </c>
      <c r="N252">
        <v>1007</v>
      </c>
      <c r="O252" t="s">
        <v>70</v>
      </c>
      <c r="P252" t="s">
        <v>70</v>
      </c>
      <c r="Q252">
        <v>1</v>
      </c>
      <c r="X252">
        <v>1.02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 t="s">
        <v>3</v>
      </c>
      <c r="AG252">
        <v>1.02</v>
      </c>
      <c r="AH252">
        <v>3</v>
      </c>
      <c r="AI252">
        <v>-1</v>
      </c>
      <c r="AJ252" t="s">
        <v>3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ROW(Source!A142)</f>
        <v>142</v>
      </c>
      <c r="B253">
        <v>53861274</v>
      </c>
      <c r="C253">
        <v>53860642</v>
      </c>
      <c r="D253">
        <v>29506954</v>
      </c>
      <c r="E253">
        <v>29506949</v>
      </c>
      <c r="F253">
        <v>1</v>
      </c>
      <c r="G253">
        <v>29506949</v>
      </c>
      <c r="H253">
        <v>1</v>
      </c>
      <c r="I253" t="s">
        <v>638</v>
      </c>
      <c r="J253" t="s">
        <v>3</v>
      </c>
      <c r="K253" t="s">
        <v>639</v>
      </c>
      <c r="L253">
        <v>1191</v>
      </c>
      <c r="N253">
        <v>1013</v>
      </c>
      <c r="O253" t="s">
        <v>640</v>
      </c>
      <c r="P253" t="s">
        <v>640</v>
      </c>
      <c r="Q253">
        <v>1</v>
      </c>
      <c r="X253">
        <v>10.9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1</v>
      </c>
      <c r="AF253" t="s">
        <v>52</v>
      </c>
      <c r="AG253">
        <v>12.535</v>
      </c>
      <c r="AH253">
        <v>3</v>
      </c>
      <c r="AI253">
        <v>-1</v>
      </c>
      <c r="AJ253" t="s">
        <v>3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ROW(Source!A142)</f>
        <v>142</v>
      </c>
      <c r="B254">
        <v>53861275</v>
      </c>
      <c r="C254">
        <v>53860642</v>
      </c>
      <c r="D254">
        <v>29580491</v>
      </c>
      <c r="E254">
        <v>1</v>
      </c>
      <c r="F254">
        <v>1</v>
      </c>
      <c r="G254">
        <v>29506949</v>
      </c>
      <c r="H254">
        <v>2</v>
      </c>
      <c r="I254" t="s">
        <v>650</v>
      </c>
      <c r="J254" t="s">
        <v>651</v>
      </c>
      <c r="K254" t="s">
        <v>652</v>
      </c>
      <c r="L254">
        <v>1368</v>
      </c>
      <c r="N254">
        <v>1011</v>
      </c>
      <c r="O254" t="s">
        <v>647</v>
      </c>
      <c r="P254" t="s">
        <v>647</v>
      </c>
      <c r="Q254">
        <v>1</v>
      </c>
      <c r="X254">
        <v>0.03</v>
      </c>
      <c r="Y254">
        <v>0</v>
      </c>
      <c r="Z254">
        <v>83.1</v>
      </c>
      <c r="AA254">
        <v>12.62</v>
      </c>
      <c r="AB254">
        <v>0</v>
      </c>
      <c r="AC254">
        <v>0</v>
      </c>
      <c r="AD254">
        <v>1</v>
      </c>
      <c r="AE254">
        <v>0</v>
      </c>
      <c r="AF254" t="s">
        <v>51</v>
      </c>
      <c r="AG254">
        <v>3.7499999999999999E-2</v>
      </c>
      <c r="AH254">
        <v>3</v>
      </c>
      <c r="AI254">
        <v>-1</v>
      </c>
      <c r="AJ254" t="s">
        <v>3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ROW(Source!A142)</f>
        <v>142</v>
      </c>
      <c r="B255">
        <v>53861276</v>
      </c>
      <c r="C255">
        <v>53860642</v>
      </c>
      <c r="D255">
        <v>29555595</v>
      </c>
      <c r="E255">
        <v>1</v>
      </c>
      <c r="F255">
        <v>1</v>
      </c>
      <c r="G255">
        <v>29506949</v>
      </c>
      <c r="H255">
        <v>3</v>
      </c>
      <c r="I255" t="s">
        <v>656</v>
      </c>
      <c r="J255" t="s">
        <v>657</v>
      </c>
      <c r="K255" t="s">
        <v>658</v>
      </c>
      <c r="L255">
        <v>1346</v>
      </c>
      <c r="N255">
        <v>1009</v>
      </c>
      <c r="O255" t="s">
        <v>58</v>
      </c>
      <c r="P255" t="s">
        <v>58</v>
      </c>
      <c r="Q255">
        <v>1</v>
      </c>
      <c r="X255">
        <v>0.15</v>
      </c>
      <c r="Y255">
        <v>1.61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0</v>
      </c>
      <c r="AF255" t="s">
        <v>3</v>
      </c>
      <c r="AG255">
        <v>0.15</v>
      </c>
      <c r="AH255">
        <v>3</v>
      </c>
      <c r="AI255">
        <v>-1</v>
      </c>
      <c r="AJ255" t="s">
        <v>3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ROW(Source!A142)</f>
        <v>142</v>
      </c>
      <c r="B256">
        <v>53861277</v>
      </c>
      <c r="C256">
        <v>53860642</v>
      </c>
      <c r="D256">
        <v>29556811</v>
      </c>
      <c r="E256">
        <v>1</v>
      </c>
      <c r="F256">
        <v>1</v>
      </c>
      <c r="G256">
        <v>29506949</v>
      </c>
      <c r="H256">
        <v>3</v>
      </c>
      <c r="I256" t="s">
        <v>659</v>
      </c>
      <c r="J256" t="s">
        <v>660</v>
      </c>
      <c r="K256" t="s">
        <v>661</v>
      </c>
      <c r="L256">
        <v>1327</v>
      </c>
      <c r="N256">
        <v>1005</v>
      </c>
      <c r="O256" t="s">
        <v>100</v>
      </c>
      <c r="P256" t="s">
        <v>100</v>
      </c>
      <c r="Q256">
        <v>1</v>
      </c>
      <c r="X256">
        <v>0.44</v>
      </c>
      <c r="Y256">
        <v>104</v>
      </c>
      <c r="Z256">
        <v>0</v>
      </c>
      <c r="AA256">
        <v>0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0.44</v>
      </c>
      <c r="AH256">
        <v>3</v>
      </c>
      <c r="AI256">
        <v>-1</v>
      </c>
      <c r="AJ256" t="s">
        <v>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ROW(Source!A142)</f>
        <v>142</v>
      </c>
      <c r="B257">
        <v>53861278</v>
      </c>
      <c r="C257">
        <v>53860642</v>
      </c>
      <c r="D257">
        <v>29524947</v>
      </c>
      <c r="E257">
        <v>29506949</v>
      </c>
      <c r="F257">
        <v>1</v>
      </c>
      <c r="G257">
        <v>29506949</v>
      </c>
      <c r="H257">
        <v>3</v>
      </c>
      <c r="I257" t="s">
        <v>868</v>
      </c>
      <c r="J257" t="s">
        <v>3</v>
      </c>
      <c r="K257" t="s">
        <v>869</v>
      </c>
      <c r="L257">
        <v>1348</v>
      </c>
      <c r="N257">
        <v>1009</v>
      </c>
      <c r="O257" t="s">
        <v>75</v>
      </c>
      <c r="P257" t="s">
        <v>75</v>
      </c>
      <c r="Q257">
        <v>1000</v>
      </c>
      <c r="X257">
        <v>2.9000000000000001E-2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 t="s">
        <v>3</v>
      </c>
      <c r="AG257">
        <v>2.9000000000000001E-2</v>
      </c>
      <c r="AH257">
        <v>3</v>
      </c>
      <c r="AI257">
        <v>-1</v>
      </c>
      <c r="AJ257" t="s">
        <v>3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ROW(Source!A144)</f>
        <v>144</v>
      </c>
      <c r="B258">
        <v>53861279</v>
      </c>
      <c r="C258">
        <v>53860645</v>
      </c>
      <c r="D258">
        <v>29506954</v>
      </c>
      <c r="E258">
        <v>29506949</v>
      </c>
      <c r="F258">
        <v>1</v>
      </c>
      <c r="G258">
        <v>29506949</v>
      </c>
      <c r="H258">
        <v>1</v>
      </c>
      <c r="I258" t="s">
        <v>638</v>
      </c>
      <c r="J258" t="s">
        <v>3</v>
      </c>
      <c r="K258" t="s">
        <v>639</v>
      </c>
      <c r="L258">
        <v>1191</v>
      </c>
      <c r="N258">
        <v>1013</v>
      </c>
      <c r="O258" t="s">
        <v>640</v>
      </c>
      <c r="P258" t="s">
        <v>640</v>
      </c>
      <c r="Q258">
        <v>1</v>
      </c>
      <c r="X258">
        <v>32.729999999999997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</v>
      </c>
      <c r="AE258">
        <v>1</v>
      </c>
      <c r="AF258" t="s">
        <v>52</v>
      </c>
      <c r="AG258">
        <v>37.639499999999991</v>
      </c>
      <c r="AH258">
        <v>2</v>
      </c>
      <c r="AI258">
        <v>53860646</v>
      </c>
      <c r="AJ258">
        <v>163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ROW(Source!A144)</f>
        <v>144</v>
      </c>
      <c r="B259">
        <v>53861280</v>
      </c>
      <c r="C259">
        <v>53860645</v>
      </c>
      <c r="D259">
        <v>29580491</v>
      </c>
      <c r="E259">
        <v>1</v>
      </c>
      <c r="F259">
        <v>1</v>
      </c>
      <c r="G259">
        <v>29506949</v>
      </c>
      <c r="H259">
        <v>2</v>
      </c>
      <c r="I259" t="s">
        <v>650</v>
      </c>
      <c r="J259" t="s">
        <v>651</v>
      </c>
      <c r="K259" t="s">
        <v>652</v>
      </c>
      <c r="L259">
        <v>1368</v>
      </c>
      <c r="N259">
        <v>1011</v>
      </c>
      <c r="O259" t="s">
        <v>647</v>
      </c>
      <c r="P259" t="s">
        <v>647</v>
      </c>
      <c r="Q259">
        <v>1</v>
      </c>
      <c r="X259">
        <v>0.1</v>
      </c>
      <c r="Y259">
        <v>0</v>
      </c>
      <c r="Z259">
        <v>83.1</v>
      </c>
      <c r="AA259">
        <v>12.62</v>
      </c>
      <c r="AB259">
        <v>0</v>
      </c>
      <c r="AC259">
        <v>0</v>
      </c>
      <c r="AD259">
        <v>1</v>
      </c>
      <c r="AE259">
        <v>0</v>
      </c>
      <c r="AF259" t="s">
        <v>51</v>
      </c>
      <c r="AG259">
        <v>0.125</v>
      </c>
      <c r="AH259">
        <v>2</v>
      </c>
      <c r="AI259">
        <v>53860647</v>
      </c>
      <c r="AJ259">
        <v>164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ROW(Source!A144)</f>
        <v>144</v>
      </c>
      <c r="B260">
        <v>53861281</v>
      </c>
      <c r="C260">
        <v>53860645</v>
      </c>
      <c r="D260">
        <v>29555595</v>
      </c>
      <c r="E260">
        <v>1</v>
      </c>
      <c r="F260">
        <v>1</v>
      </c>
      <c r="G260">
        <v>29506949</v>
      </c>
      <c r="H260">
        <v>3</v>
      </c>
      <c r="I260" t="s">
        <v>656</v>
      </c>
      <c r="J260" t="s">
        <v>657</v>
      </c>
      <c r="K260" t="s">
        <v>658</v>
      </c>
      <c r="L260">
        <v>1346</v>
      </c>
      <c r="N260">
        <v>1009</v>
      </c>
      <c r="O260" t="s">
        <v>58</v>
      </c>
      <c r="P260" t="s">
        <v>58</v>
      </c>
      <c r="Q260">
        <v>1</v>
      </c>
      <c r="X260">
        <v>0.31</v>
      </c>
      <c r="Y260">
        <v>1.61</v>
      </c>
      <c r="Z260">
        <v>0</v>
      </c>
      <c r="AA260">
        <v>0</v>
      </c>
      <c r="AB260">
        <v>0</v>
      </c>
      <c r="AC260">
        <v>0</v>
      </c>
      <c r="AD260">
        <v>1</v>
      </c>
      <c r="AE260">
        <v>0</v>
      </c>
      <c r="AF260" t="s">
        <v>3</v>
      </c>
      <c r="AG260">
        <v>0.31</v>
      </c>
      <c r="AH260">
        <v>2</v>
      </c>
      <c r="AI260">
        <v>53860648</v>
      </c>
      <c r="AJ260">
        <v>165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ROW(Source!A144)</f>
        <v>144</v>
      </c>
      <c r="B261">
        <v>53861282</v>
      </c>
      <c r="C261">
        <v>53860645</v>
      </c>
      <c r="D261">
        <v>29556811</v>
      </c>
      <c r="E261">
        <v>1</v>
      </c>
      <c r="F261">
        <v>1</v>
      </c>
      <c r="G261">
        <v>29506949</v>
      </c>
      <c r="H261">
        <v>3</v>
      </c>
      <c r="I261" t="s">
        <v>659</v>
      </c>
      <c r="J261" t="s">
        <v>660</v>
      </c>
      <c r="K261" t="s">
        <v>661</v>
      </c>
      <c r="L261">
        <v>1327</v>
      </c>
      <c r="N261">
        <v>1005</v>
      </c>
      <c r="O261" t="s">
        <v>100</v>
      </c>
      <c r="P261" t="s">
        <v>100</v>
      </c>
      <c r="Q261">
        <v>1</v>
      </c>
      <c r="X261">
        <v>0.84</v>
      </c>
      <c r="Y261">
        <v>104</v>
      </c>
      <c r="Z261">
        <v>0</v>
      </c>
      <c r="AA261">
        <v>0</v>
      </c>
      <c r="AB261">
        <v>0</v>
      </c>
      <c r="AC261">
        <v>0</v>
      </c>
      <c r="AD261">
        <v>1</v>
      </c>
      <c r="AE261">
        <v>0</v>
      </c>
      <c r="AF261" t="s">
        <v>3</v>
      </c>
      <c r="AG261">
        <v>0.84</v>
      </c>
      <c r="AH261">
        <v>2</v>
      </c>
      <c r="AI261">
        <v>53860649</v>
      </c>
      <c r="AJ261">
        <v>166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ROW(Source!A144)</f>
        <v>144</v>
      </c>
      <c r="B262">
        <v>53861283</v>
      </c>
      <c r="C262">
        <v>53860645</v>
      </c>
      <c r="D262">
        <v>29556824</v>
      </c>
      <c r="E262">
        <v>1</v>
      </c>
      <c r="F262">
        <v>1</v>
      </c>
      <c r="G262">
        <v>29506949</v>
      </c>
      <c r="H262">
        <v>3</v>
      </c>
      <c r="I262" t="s">
        <v>662</v>
      </c>
      <c r="J262" t="s">
        <v>663</v>
      </c>
      <c r="K262" t="s">
        <v>664</v>
      </c>
      <c r="L262">
        <v>1348</v>
      </c>
      <c r="N262">
        <v>1009</v>
      </c>
      <c r="O262" t="s">
        <v>75</v>
      </c>
      <c r="P262" t="s">
        <v>75</v>
      </c>
      <c r="Q262">
        <v>1000</v>
      </c>
      <c r="X262">
        <v>5.0000000000000001E-3</v>
      </c>
      <c r="Y262">
        <v>13953.6</v>
      </c>
      <c r="Z262">
        <v>0</v>
      </c>
      <c r="AA262">
        <v>0</v>
      </c>
      <c r="AB262">
        <v>0</v>
      </c>
      <c r="AC262">
        <v>0</v>
      </c>
      <c r="AD262">
        <v>1</v>
      </c>
      <c r="AE262">
        <v>0</v>
      </c>
      <c r="AF262" t="s">
        <v>3</v>
      </c>
      <c r="AG262">
        <v>5.0000000000000001E-3</v>
      </c>
      <c r="AH262">
        <v>2</v>
      </c>
      <c r="AI262">
        <v>53860650</v>
      </c>
      <c r="AJ262">
        <v>167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ROW(Source!A144)</f>
        <v>144</v>
      </c>
      <c r="B263">
        <v>53861284</v>
      </c>
      <c r="C263">
        <v>53860645</v>
      </c>
      <c r="D263">
        <v>39597517</v>
      </c>
      <c r="E263">
        <v>29506949</v>
      </c>
      <c r="F263">
        <v>1</v>
      </c>
      <c r="G263">
        <v>29506949</v>
      </c>
      <c r="H263">
        <v>3</v>
      </c>
      <c r="I263" t="s">
        <v>850</v>
      </c>
      <c r="J263" t="s">
        <v>3</v>
      </c>
      <c r="K263" t="s">
        <v>851</v>
      </c>
      <c r="L263">
        <v>1348</v>
      </c>
      <c r="N263">
        <v>1009</v>
      </c>
      <c r="O263" t="s">
        <v>75</v>
      </c>
      <c r="P263" t="s">
        <v>75</v>
      </c>
      <c r="Q263">
        <v>1000</v>
      </c>
      <c r="X263">
        <v>0.02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 t="s">
        <v>3</v>
      </c>
      <c r="AG263">
        <v>0.02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ROW(Source!A144)</f>
        <v>144</v>
      </c>
      <c r="B264">
        <v>53861285</v>
      </c>
      <c r="C264">
        <v>53860645</v>
      </c>
      <c r="D264">
        <v>39597541</v>
      </c>
      <c r="E264">
        <v>29506949</v>
      </c>
      <c r="F264">
        <v>1</v>
      </c>
      <c r="G264">
        <v>29506949</v>
      </c>
      <c r="H264">
        <v>3</v>
      </c>
      <c r="I264" t="s">
        <v>857</v>
      </c>
      <c r="J264" t="s">
        <v>3</v>
      </c>
      <c r="K264" t="s">
        <v>870</v>
      </c>
      <c r="L264">
        <v>1346</v>
      </c>
      <c r="N264">
        <v>1009</v>
      </c>
      <c r="O264" t="s">
        <v>58</v>
      </c>
      <c r="P264" t="s">
        <v>58</v>
      </c>
      <c r="Q264">
        <v>1</v>
      </c>
      <c r="X264">
        <v>30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 t="s">
        <v>3</v>
      </c>
      <c r="AG264">
        <v>30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ROW(Source!A147)</f>
        <v>147</v>
      </c>
      <c r="B265">
        <v>53861286</v>
      </c>
      <c r="C265">
        <v>53860662</v>
      </c>
      <c r="D265">
        <v>29506954</v>
      </c>
      <c r="E265">
        <v>29506949</v>
      </c>
      <c r="F265">
        <v>1</v>
      </c>
      <c r="G265">
        <v>29506949</v>
      </c>
      <c r="H265">
        <v>1</v>
      </c>
      <c r="I265" t="s">
        <v>638</v>
      </c>
      <c r="J265" t="s">
        <v>3</v>
      </c>
      <c r="K265" t="s">
        <v>639</v>
      </c>
      <c r="L265">
        <v>1191</v>
      </c>
      <c r="N265">
        <v>1013</v>
      </c>
      <c r="O265" t="s">
        <v>640</v>
      </c>
      <c r="P265" t="s">
        <v>640</v>
      </c>
      <c r="Q265">
        <v>1</v>
      </c>
      <c r="X265">
        <v>121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1</v>
      </c>
      <c r="AE265">
        <v>1</v>
      </c>
      <c r="AF265" t="s">
        <v>52</v>
      </c>
      <c r="AG265">
        <v>139.14999999999998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ROW(Source!A147)</f>
        <v>147</v>
      </c>
      <c r="B266">
        <v>53861287</v>
      </c>
      <c r="C266">
        <v>53860662</v>
      </c>
      <c r="D266">
        <v>29555598</v>
      </c>
      <c r="E266">
        <v>1</v>
      </c>
      <c r="F266">
        <v>1</v>
      </c>
      <c r="G266">
        <v>29506949</v>
      </c>
      <c r="H266">
        <v>3</v>
      </c>
      <c r="I266" t="s">
        <v>68</v>
      </c>
      <c r="J266" t="s">
        <v>71</v>
      </c>
      <c r="K266" t="s">
        <v>69</v>
      </c>
      <c r="L266">
        <v>1339</v>
      </c>
      <c r="N266">
        <v>1007</v>
      </c>
      <c r="O266" t="s">
        <v>70</v>
      </c>
      <c r="P266" t="s">
        <v>70</v>
      </c>
      <c r="Q266">
        <v>1</v>
      </c>
      <c r="X266">
        <v>0.3</v>
      </c>
      <c r="Y266">
        <v>7.07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</v>
      </c>
      <c r="AG266">
        <v>0.3</v>
      </c>
      <c r="AH266">
        <v>3</v>
      </c>
      <c r="AI266">
        <v>-1</v>
      </c>
      <c r="AJ266" t="s">
        <v>3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ROW(Source!A147)</f>
        <v>147</v>
      </c>
      <c r="B267">
        <v>53861288</v>
      </c>
      <c r="C267">
        <v>53860662</v>
      </c>
      <c r="D267">
        <v>29555568</v>
      </c>
      <c r="E267">
        <v>1</v>
      </c>
      <c r="F267">
        <v>1</v>
      </c>
      <c r="G267">
        <v>29506949</v>
      </c>
      <c r="H267">
        <v>3</v>
      </c>
      <c r="I267" t="s">
        <v>910</v>
      </c>
      <c r="J267" t="s">
        <v>911</v>
      </c>
      <c r="K267" t="s">
        <v>912</v>
      </c>
      <c r="L267">
        <v>1339</v>
      </c>
      <c r="N267">
        <v>1007</v>
      </c>
      <c r="O267" t="s">
        <v>70</v>
      </c>
      <c r="P267" t="s">
        <v>70</v>
      </c>
      <c r="Q267">
        <v>1</v>
      </c>
      <c r="X267">
        <v>1.6E-2</v>
      </c>
      <c r="Y267">
        <v>2472.13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0</v>
      </c>
      <c r="AF267" t="s">
        <v>3</v>
      </c>
      <c r="AG267">
        <v>1.6E-2</v>
      </c>
      <c r="AH267">
        <v>3</v>
      </c>
      <c r="AI267">
        <v>-1</v>
      </c>
      <c r="AJ267" t="s">
        <v>3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ROW(Source!A147)</f>
        <v>147</v>
      </c>
      <c r="B268">
        <v>53861289</v>
      </c>
      <c r="C268">
        <v>53860662</v>
      </c>
      <c r="D268">
        <v>29556298</v>
      </c>
      <c r="E268">
        <v>1</v>
      </c>
      <c r="F268">
        <v>1</v>
      </c>
      <c r="G268">
        <v>29506949</v>
      </c>
      <c r="H268">
        <v>3</v>
      </c>
      <c r="I268" t="s">
        <v>913</v>
      </c>
      <c r="J268" t="s">
        <v>914</v>
      </c>
      <c r="K268" t="s">
        <v>915</v>
      </c>
      <c r="L268">
        <v>1348</v>
      </c>
      <c r="N268">
        <v>1009</v>
      </c>
      <c r="O268" t="s">
        <v>75</v>
      </c>
      <c r="P268" t="s">
        <v>75</v>
      </c>
      <c r="Q268">
        <v>1000</v>
      </c>
      <c r="X268">
        <v>2.3E-3</v>
      </c>
      <c r="Y268">
        <v>6870.66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0</v>
      </c>
      <c r="AF268" t="s">
        <v>3</v>
      </c>
      <c r="AG268">
        <v>2.3E-3</v>
      </c>
      <c r="AH268">
        <v>3</v>
      </c>
      <c r="AI268">
        <v>-1</v>
      </c>
      <c r="AJ268" t="s">
        <v>3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ROW(Source!A147)</f>
        <v>147</v>
      </c>
      <c r="B269">
        <v>53861290</v>
      </c>
      <c r="C269">
        <v>53860662</v>
      </c>
      <c r="D269">
        <v>29530112</v>
      </c>
      <c r="E269">
        <v>29506949</v>
      </c>
      <c r="F269">
        <v>1</v>
      </c>
      <c r="G269">
        <v>29506949</v>
      </c>
      <c r="H269">
        <v>3</v>
      </c>
      <c r="I269" t="s">
        <v>916</v>
      </c>
      <c r="J269" t="s">
        <v>3</v>
      </c>
      <c r="K269" t="s">
        <v>917</v>
      </c>
      <c r="L269">
        <v>1356</v>
      </c>
      <c r="N269">
        <v>1010</v>
      </c>
      <c r="O269" t="s">
        <v>368</v>
      </c>
      <c r="P269" t="s">
        <v>368</v>
      </c>
      <c r="Q269">
        <v>1000</v>
      </c>
      <c r="X269">
        <v>5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 t="s">
        <v>3</v>
      </c>
      <c r="AG269">
        <v>5</v>
      </c>
      <c r="AH269">
        <v>3</v>
      </c>
      <c r="AI269">
        <v>-1</v>
      </c>
      <c r="AJ269" t="s">
        <v>3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ROW(Source!A147)</f>
        <v>147</v>
      </c>
      <c r="B270">
        <v>53861291</v>
      </c>
      <c r="C270">
        <v>53860662</v>
      </c>
      <c r="D270">
        <v>29529607</v>
      </c>
      <c r="E270">
        <v>29506949</v>
      </c>
      <c r="F270">
        <v>1</v>
      </c>
      <c r="G270">
        <v>29506949</v>
      </c>
      <c r="H270">
        <v>3</v>
      </c>
      <c r="I270" t="s">
        <v>855</v>
      </c>
      <c r="J270" t="s">
        <v>3</v>
      </c>
      <c r="K270" t="s">
        <v>918</v>
      </c>
      <c r="L270">
        <v>1339</v>
      </c>
      <c r="N270">
        <v>1007</v>
      </c>
      <c r="O270" t="s">
        <v>70</v>
      </c>
      <c r="P270" t="s">
        <v>70</v>
      </c>
      <c r="Q270">
        <v>1</v>
      </c>
      <c r="X270">
        <v>2.2999999999999998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 t="s">
        <v>3</v>
      </c>
      <c r="AG270">
        <v>2.2999999999999998</v>
      </c>
      <c r="AH270">
        <v>3</v>
      </c>
      <c r="AI270">
        <v>-1</v>
      </c>
      <c r="AJ270" t="s">
        <v>3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ROW(Source!A150)</f>
        <v>150</v>
      </c>
      <c r="B271">
        <v>53861292</v>
      </c>
      <c r="C271">
        <v>53860667</v>
      </c>
      <c r="D271">
        <v>29506954</v>
      </c>
      <c r="E271">
        <v>29506949</v>
      </c>
      <c r="F271">
        <v>1</v>
      </c>
      <c r="G271">
        <v>29506949</v>
      </c>
      <c r="H271">
        <v>1</v>
      </c>
      <c r="I271" t="s">
        <v>638</v>
      </c>
      <c r="J271" t="s">
        <v>3</v>
      </c>
      <c r="K271" t="s">
        <v>639</v>
      </c>
      <c r="L271">
        <v>1191</v>
      </c>
      <c r="N271">
        <v>1013</v>
      </c>
      <c r="O271" t="s">
        <v>640</v>
      </c>
      <c r="P271" t="s">
        <v>640</v>
      </c>
      <c r="Q271">
        <v>1</v>
      </c>
      <c r="X271">
        <v>133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1</v>
      </c>
      <c r="AE271">
        <v>1</v>
      </c>
      <c r="AF271" t="s">
        <v>52</v>
      </c>
      <c r="AG271">
        <v>152.94999999999999</v>
      </c>
      <c r="AH271">
        <v>3</v>
      </c>
      <c r="AI271">
        <v>-1</v>
      </c>
      <c r="AJ271" t="s">
        <v>3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ROW(Source!A150)</f>
        <v>150</v>
      </c>
      <c r="B272">
        <v>53861293</v>
      </c>
      <c r="C272">
        <v>53860667</v>
      </c>
      <c r="D272">
        <v>29580491</v>
      </c>
      <c r="E272">
        <v>1</v>
      </c>
      <c r="F272">
        <v>1</v>
      </c>
      <c r="G272">
        <v>29506949</v>
      </c>
      <c r="H272">
        <v>2</v>
      </c>
      <c r="I272" t="s">
        <v>650</v>
      </c>
      <c r="J272" t="s">
        <v>651</v>
      </c>
      <c r="K272" t="s">
        <v>652</v>
      </c>
      <c r="L272">
        <v>1368</v>
      </c>
      <c r="N272">
        <v>1011</v>
      </c>
      <c r="O272" t="s">
        <v>647</v>
      </c>
      <c r="P272" t="s">
        <v>647</v>
      </c>
      <c r="Q272">
        <v>1</v>
      </c>
      <c r="X272">
        <v>0.41</v>
      </c>
      <c r="Y272">
        <v>0</v>
      </c>
      <c r="Z272">
        <v>83.1</v>
      </c>
      <c r="AA272">
        <v>12.62</v>
      </c>
      <c r="AB272">
        <v>0</v>
      </c>
      <c r="AC272">
        <v>0</v>
      </c>
      <c r="AD272">
        <v>1</v>
      </c>
      <c r="AE272">
        <v>0</v>
      </c>
      <c r="AF272" t="s">
        <v>51</v>
      </c>
      <c r="AG272">
        <v>0.51249999999999996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ROW(Source!A150)</f>
        <v>150</v>
      </c>
      <c r="B273">
        <v>53861294</v>
      </c>
      <c r="C273">
        <v>53860667</v>
      </c>
      <c r="D273">
        <v>29579738</v>
      </c>
      <c r="E273">
        <v>1</v>
      </c>
      <c r="F273">
        <v>1</v>
      </c>
      <c r="G273">
        <v>29506949</v>
      </c>
      <c r="H273">
        <v>2</v>
      </c>
      <c r="I273" t="s">
        <v>665</v>
      </c>
      <c r="J273" t="s">
        <v>666</v>
      </c>
      <c r="K273" t="s">
        <v>667</v>
      </c>
      <c r="L273">
        <v>1368</v>
      </c>
      <c r="N273">
        <v>1011</v>
      </c>
      <c r="O273" t="s">
        <v>647</v>
      </c>
      <c r="P273" t="s">
        <v>647</v>
      </c>
      <c r="Q273">
        <v>1</v>
      </c>
      <c r="X273">
        <v>0.36</v>
      </c>
      <c r="Y273">
        <v>0</v>
      </c>
      <c r="Z273">
        <v>179.17</v>
      </c>
      <c r="AA273">
        <v>16.93</v>
      </c>
      <c r="AB273">
        <v>0</v>
      </c>
      <c r="AC273">
        <v>0</v>
      </c>
      <c r="AD273">
        <v>1</v>
      </c>
      <c r="AE273">
        <v>0</v>
      </c>
      <c r="AF273" t="s">
        <v>51</v>
      </c>
      <c r="AG273">
        <v>0.44999999999999996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ROW(Source!A150)</f>
        <v>150</v>
      </c>
      <c r="B274">
        <v>53861295</v>
      </c>
      <c r="C274">
        <v>53860667</v>
      </c>
      <c r="D274">
        <v>29580002</v>
      </c>
      <c r="E274">
        <v>1</v>
      </c>
      <c r="F274">
        <v>1</v>
      </c>
      <c r="G274">
        <v>29506949</v>
      </c>
      <c r="H274">
        <v>2</v>
      </c>
      <c r="I274" t="s">
        <v>760</v>
      </c>
      <c r="J274" t="s">
        <v>761</v>
      </c>
      <c r="K274" t="s">
        <v>762</v>
      </c>
      <c r="L274">
        <v>1368</v>
      </c>
      <c r="N274">
        <v>1011</v>
      </c>
      <c r="O274" t="s">
        <v>647</v>
      </c>
      <c r="P274" t="s">
        <v>647</v>
      </c>
      <c r="Q274">
        <v>1</v>
      </c>
      <c r="X274">
        <v>0.87</v>
      </c>
      <c r="Y274">
        <v>0</v>
      </c>
      <c r="Z274">
        <v>13.07</v>
      </c>
      <c r="AA274">
        <v>11.18</v>
      </c>
      <c r="AB274">
        <v>0</v>
      </c>
      <c r="AC274">
        <v>0</v>
      </c>
      <c r="AD274">
        <v>1</v>
      </c>
      <c r="AE274">
        <v>0</v>
      </c>
      <c r="AF274" t="s">
        <v>51</v>
      </c>
      <c r="AG274">
        <v>1.0874999999999999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ROW(Source!A150)</f>
        <v>150</v>
      </c>
      <c r="B275">
        <v>53861296</v>
      </c>
      <c r="C275">
        <v>53860667</v>
      </c>
      <c r="D275">
        <v>29528985</v>
      </c>
      <c r="E275">
        <v>29506949</v>
      </c>
      <c r="F275">
        <v>1</v>
      </c>
      <c r="G275">
        <v>29506949</v>
      </c>
      <c r="H275">
        <v>3</v>
      </c>
      <c r="I275" t="s">
        <v>852</v>
      </c>
      <c r="J275" t="s">
        <v>3</v>
      </c>
      <c r="K275" t="s">
        <v>69</v>
      </c>
      <c r="L275">
        <v>1339</v>
      </c>
      <c r="N275">
        <v>1007</v>
      </c>
      <c r="O275" t="s">
        <v>70</v>
      </c>
      <c r="P275" t="s">
        <v>70</v>
      </c>
      <c r="Q275">
        <v>1</v>
      </c>
      <c r="X275">
        <v>0.19228000000000001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 t="s">
        <v>3</v>
      </c>
      <c r="AG275">
        <v>0.19228000000000001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ROW(Source!A150)</f>
        <v>150</v>
      </c>
      <c r="B276">
        <v>53861297</v>
      </c>
      <c r="C276">
        <v>53860667</v>
      </c>
      <c r="D276">
        <v>29556396</v>
      </c>
      <c r="E276">
        <v>1</v>
      </c>
      <c r="F276">
        <v>1</v>
      </c>
      <c r="G276">
        <v>29506949</v>
      </c>
      <c r="H276">
        <v>3</v>
      </c>
      <c r="I276" t="s">
        <v>745</v>
      </c>
      <c r="J276" t="s">
        <v>746</v>
      </c>
      <c r="K276" t="s">
        <v>747</v>
      </c>
      <c r="L276">
        <v>1327</v>
      </c>
      <c r="N276">
        <v>1005</v>
      </c>
      <c r="O276" t="s">
        <v>100</v>
      </c>
      <c r="P276" t="s">
        <v>100</v>
      </c>
      <c r="Q276">
        <v>1</v>
      </c>
      <c r="X276">
        <v>108</v>
      </c>
      <c r="Y276">
        <v>33.56</v>
      </c>
      <c r="Z276">
        <v>0</v>
      </c>
      <c r="AA276">
        <v>0</v>
      </c>
      <c r="AB276">
        <v>0</v>
      </c>
      <c r="AC276">
        <v>0</v>
      </c>
      <c r="AD276">
        <v>1</v>
      </c>
      <c r="AE276">
        <v>0</v>
      </c>
      <c r="AF276" t="s">
        <v>3</v>
      </c>
      <c r="AG276">
        <v>108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ROW(Source!A150)</f>
        <v>150</v>
      </c>
      <c r="B277">
        <v>53861298</v>
      </c>
      <c r="C277">
        <v>53860667</v>
      </c>
      <c r="D277">
        <v>29556677</v>
      </c>
      <c r="E277">
        <v>1</v>
      </c>
      <c r="F277">
        <v>1</v>
      </c>
      <c r="G277">
        <v>29506949</v>
      </c>
      <c r="H277">
        <v>3</v>
      </c>
      <c r="I277" t="s">
        <v>919</v>
      </c>
      <c r="J277" t="s">
        <v>920</v>
      </c>
      <c r="K277" t="s">
        <v>921</v>
      </c>
      <c r="L277">
        <v>1348</v>
      </c>
      <c r="N277">
        <v>1009</v>
      </c>
      <c r="O277" t="s">
        <v>75</v>
      </c>
      <c r="P277" t="s">
        <v>75</v>
      </c>
      <c r="Q277">
        <v>1000</v>
      </c>
      <c r="X277">
        <v>1.2999999999999999E-2</v>
      </c>
      <c r="Y277">
        <v>315.2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1.2999999999999999E-2</v>
      </c>
      <c r="AH277">
        <v>3</v>
      </c>
      <c r="AI277">
        <v>-1</v>
      </c>
      <c r="AJ277" t="s">
        <v>3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ROW(Source!A150)</f>
        <v>150</v>
      </c>
      <c r="B278">
        <v>53861299</v>
      </c>
      <c r="C278">
        <v>53860667</v>
      </c>
      <c r="D278">
        <v>29555711</v>
      </c>
      <c r="E278">
        <v>1</v>
      </c>
      <c r="F278">
        <v>1</v>
      </c>
      <c r="G278">
        <v>29506949</v>
      </c>
      <c r="H278">
        <v>3</v>
      </c>
      <c r="I278" t="s">
        <v>922</v>
      </c>
      <c r="J278" t="s">
        <v>923</v>
      </c>
      <c r="K278" t="s">
        <v>924</v>
      </c>
      <c r="L278">
        <v>1348</v>
      </c>
      <c r="N278">
        <v>1009</v>
      </c>
      <c r="O278" t="s">
        <v>75</v>
      </c>
      <c r="P278" t="s">
        <v>75</v>
      </c>
      <c r="Q278">
        <v>1000</v>
      </c>
      <c r="X278">
        <v>2.5000000000000001E-3</v>
      </c>
      <c r="Y278">
        <v>20166.439999999999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0</v>
      </c>
      <c r="AF278" t="s">
        <v>3</v>
      </c>
      <c r="AG278">
        <v>2.5000000000000001E-3</v>
      </c>
      <c r="AH278">
        <v>3</v>
      </c>
      <c r="AI278">
        <v>-1</v>
      </c>
      <c r="AJ278" t="s">
        <v>3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ROW(Source!A150)</f>
        <v>150</v>
      </c>
      <c r="B279">
        <v>53861300</v>
      </c>
      <c r="C279">
        <v>53860667</v>
      </c>
      <c r="D279">
        <v>29556138</v>
      </c>
      <c r="E279">
        <v>1</v>
      </c>
      <c r="F279">
        <v>1</v>
      </c>
      <c r="G279">
        <v>29506949</v>
      </c>
      <c r="H279">
        <v>3</v>
      </c>
      <c r="I279" t="s">
        <v>925</v>
      </c>
      <c r="J279" t="s">
        <v>926</v>
      </c>
      <c r="K279" t="s">
        <v>927</v>
      </c>
      <c r="L279">
        <v>1346</v>
      </c>
      <c r="N279">
        <v>1009</v>
      </c>
      <c r="O279" t="s">
        <v>58</v>
      </c>
      <c r="P279" t="s">
        <v>58</v>
      </c>
      <c r="Q279">
        <v>1</v>
      </c>
      <c r="X279">
        <v>12</v>
      </c>
      <c r="Y279">
        <v>9.86</v>
      </c>
      <c r="Z279">
        <v>0</v>
      </c>
      <c r="AA279">
        <v>0</v>
      </c>
      <c r="AB279">
        <v>0</v>
      </c>
      <c r="AC279">
        <v>0</v>
      </c>
      <c r="AD279">
        <v>1</v>
      </c>
      <c r="AE279">
        <v>0</v>
      </c>
      <c r="AF279" t="s">
        <v>3</v>
      </c>
      <c r="AG279">
        <v>12</v>
      </c>
      <c r="AH279">
        <v>3</v>
      </c>
      <c r="AI279">
        <v>-1</v>
      </c>
      <c r="AJ279" t="s">
        <v>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ROW(Source!A150)</f>
        <v>150</v>
      </c>
      <c r="B280">
        <v>53861301</v>
      </c>
      <c r="C280">
        <v>53860667</v>
      </c>
      <c r="D280">
        <v>29523435</v>
      </c>
      <c r="E280">
        <v>29506949</v>
      </c>
      <c r="F280">
        <v>1</v>
      </c>
      <c r="G280">
        <v>29506949</v>
      </c>
      <c r="H280">
        <v>3</v>
      </c>
      <c r="I280" t="s">
        <v>853</v>
      </c>
      <c r="J280" t="s">
        <v>3</v>
      </c>
      <c r="K280" t="s">
        <v>854</v>
      </c>
      <c r="L280">
        <v>1348</v>
      </c>
      <c r="N280">
        <v>1009</v>
      </c>
      <c r="O280" t="s">
        <v>75</v>
      </c>
      <c r="P280" t="s">
        <v>75</v>
      </c>
      <c r="Q280">
        <v>1000</v>
      </c>
      <c r="X280">
        <v>1.0416000000000001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 t="s">
        <v>3</v>
      </c>
      <c r="AG280">
        <v>1.0416000000000001</v>
      </c>
      <c r="AH280">
        <v>3</v>
      </c>
      <c r="AI280">
        <v>-1</v>
      </c>
      <c r="AJ280" t="s">
        <v>3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ROW(Source!A150)</f>
        <v>150</v>
      </c>
      <c r="B281">
        <v>53861302</v>
      </c>
      <c r="C281">
        <v>53860667</v>
      </c>
      <c r="D281">
        <v>29523439</v>
      </c>
      <c r="E281">
        <v>29506949</v>
      </c>
      <c r="F281">
        <v>1</v>
      </c>
      <c r="G281">
        <v>29506949</v>
      </c>
      <c r="H281">
        <v>3</v>
      </c>
      <c r="I281" t="s">
        <v>855</v>
      </c>
      <c r="J281" t="s">
        <v>3</v>
      </c>
      <c r="K281" t="s">
        <v>856</v>
      </c>
      <c r="L281">
        <v>1339</v>
      </c>
      <c r="N281">
        <v>1007</v>
      </c>
      <c r="O281" t="s">
        <v>70</v>
      </c>
      <c r="P281" t="s">
        <v>70</v>
      </c>
      <c r="Q281">
        <v>1</v>
      </c>
      <c r="X281">
        <v>2.6040000000000001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 t="s">
        <v>3</v>
      </c>
      <c r="AG281">
        <v>2.6040000000000001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ROW(Source!A154)</f>
        <v>154</v>
      </c>
      <c r="B282">
        <v>53861303</v>
      </c>
      <c r="C282">
        <v>53860674</v>
      </c>
      <c r="D282">
        <v>29506954</v>
      </c>
      <c r="E282">
        <v>29506949</v>
      </c>
      <c r="F282">
        <v>1</v>
      </c>
      <c r="G282">
        <v>29506949</v>
      </c>
      <c r="H282">
        <v>1</v>
      </c>
      <c r="I282" t="s">
        <v>638</v>
      </c>
      <c r="J282" t="s">
        <v>3</v>
      </c>
      <c r="K282" t="s">
        <v>639</v>
      </c>
      <c r="L282">
        <v>1191</v>
      </c>
      <c r="N282">
        <v>1013</v>
      </c>
      <c r="O282" t="s">
        <v>640</v>
      </c>
      <c r="P282" t="s">
        <v>640</v>
      </c>
      <c r="Q282">
        <v>1</v>
      </c>
      <c r="X282">
        <v>43.56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1</v>
      </c>
      <c r="AE282">
        <v>1</v>
      </c>
      <c r="AF282" t="s">
        <v>52</v>
      </c>
      <c r="AG282">
        <v>50.094000000000001</v>
      </c>
      <c r="AH282">
        <v>2</v>
      </c>
      <c r="AI282">
        <v>53860675</v>
      </c>
      <c r="AJ282">
        <v>175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ROW(Source!A154)</f>
        <v>154</v>
      </c>
      <c r="B283">
        <v>53861304</v>
      </c>
      <c r="C283">
        <v>53860674</v>
      </c>
      <c r="D283">
        <v>29580491</v>
      </c>
      <c r="E283">
        <v>1</v>
      </c>
      <c r="F283">
        <v>1</v>
      </c>
      <c r="G283">
        <v>29506949</v>
      </c>
      <c r="H283">
        <v>2</v>
      </c>
      <c r="I283" t="s">
        <v>650</v>
      </c>
      <c r="J283" t="s">
        <v>651</v>
      </c>
      <c r="K283" t="s">
        <v>652</v>
      </c>
      <c r="L283">
        <v>1368</v>
      </c>
      <c r="N283">
        <v>1011</v>
      </c>
      <c r="O283" t="s">
        <v>647</v>
      </c>
      <c r="P283" t="s">
        <v>647</v>
      </c>
      <c r="Q283">
        <v>1</v>
      </c>
      <c r="X283">
        <v>0.15</v>
      </c>
      <c r="Y283">
        <v>0</v>
      </c>
      <c r="Z283">
        <v>83.1</v>
      </c>
      <c r="AA283">
        <v>12.62</v>
      </c>
      <c r="AB283">
        <v>0</v>
      </c>
      <c r="AC283">
        <v>0</v>
      </c>
      <c r="AD283">
        <v>1</v>
      </c>
      <c r="AE283">
        <v>0</v>
      </c>
      <c r="AF283" t="s">
        <v>51</v>
      </c>
      <c r="AG283">
        <v>0.1875</v>
      </c>
      <c r="AH283">
        <v>2</v>
      </c>
      <c r="AI283">
        <v>53860676</v>
      </c>
      <c r="AJ283">
        <v>176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ROW(Source!A154)</f>
        <v>154</v>
      </c>
      <c r="B284">
        <v>53861305</v>
      </c>
      <c r="C284">
        <v>53860674</v>
      </c>
      <c r="D284">
        <v>29555595</v>
      </c>
      <c r="E284">
        <v>1</v>
      </c>
      <c r="F284">
        <v>1</v>
      </c>
      <c r="G284">
        <v>29506949</v>
      </c>
      <c r="H284">
        <v>3</v>
      </c>
      <c r="I284" t="s">
        <v>656</v>
      </c>
      <c r="J284" t="s">
        <v>657</v>
      </c>
      <c r="K284" t="s">
        <v>658</v>
      </c>
      <c r="L284">
        <v>1346</v>
      </c>
      <c r="N284">
        <v>1009</v>
      </c>
      <c r="O284" t="s">
        <v>58</v>
      </c>
      <c r="P284" t="s">
        <v>58</v>
      </c>
      <c r="Q284">
        <v>1</v>
      </c>
      <c r="X284">
        <v>0.31</v>
      </c>
      <c r="Y284">
        <v>1.61</v>
      </c>
      <c r="Z284">
        <v>0</v>
      </c>
      <c r="AA284">
        <v>0</v>
      </c>
      <c r="AB284">
        <v>0</v>
      </c>
      <c r="AC284">
        <v>0</v>
      </c>
      <c r="AD284">
        <v>1</v>
      </c>
      <c r="AE284">
        <v>0</v>
      </c>
      <c r="AF284" t="s">
        <v>3</v>
      </c>
      <c r="AG284">
        <v>0.31</v>
      </c>
      <c r="AH284">
        <v>2</v>
      </c>
      <c r="AI284">
        <v>53860677</v>
      </c>
      <c r="AJ284">
        <v>177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ROW(Source!A154)</f>
        <v>154</v>
      </c>
      <c r="B285">
        <v>53861306</v>
      </c>
      <c r="C285">
        <v>53860674</v>
      </c>
      <c r="D285">
        <v>29556811</v>
      </c>
      <c r="E285">
        <v>1</v>
      </c>
      <c r="F285">
        <v>1</v>
      </c>
      <c r="G285">
        <v>29506949</v>
      </c>
      <c r="H285">
        <v>3</v>
      </c>
      <c r="I285" t="s">
        <v>659</v>
      </c>
      <c r="J285" t="s">
        <v>660</v>
      </c>
      <c r="K285" t="s">
        <v>661</v>
      </c>
      <c r="L285">
        <v>1327</v>
      </c>
      <c r="N285">
        <v>1005</v>
      </c>
      <c r="O285" t="s">
        <v>100</v>
      </c>
      <c r="P285" t="s">
        <v>100</v>
      </c>
      <c r="Q285">
        <v>1</v>
      </c>
      <c r="X285">
        <v>0.84</v>
      </c>
      <c r="Y285">
        <v>104</v>
      </c>
      <c r="Z285">
        <v>0</v>
      </c>
      <c r="AA285">
        <v>0</v>
      </c>
      <c r="AB285">
        <v>0</v>
      </c>
      <c r="AC285">
        <v>0</v>
      </c>
      <c r="AD285">
        <v>1</v>
      </c>
      <c r="AE285">
        <v>0</v>
      </c>
      <c r="AF285" t="s">
        <v>3</v>
      </c>
      <c r="AG285">
        <v>0.84</v>
      </c>
      <c r="AH285">
        <v>2</v>
      </c>
      <c r="AI285">
        <v>53860678</v>
      </c>
      <c r="AJ285">
        <v>178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ROW(Source!A154)</f>
        <v>154</v>
      </c>
      <c r="B286">
        <v>53861307</v>
      </c>
      <c r="C286">
        <v>53860674</v>
      </c>
      <c r="D286">
        <v>29556824</v>
      </c>
      <c r="E286">
        <v>1</v>
      </c>
      <c r="F286">
        <v>1</v>
      </c>
      <c r="G286">
        <v>29506949</v>
      </c>
      <c r="H286">
        <v>3</v>
      </c>
      <c r="I286" t="s">
        <v>662</v>
      </c>
      <c r="J286" t="s">
        <v>663</v>
      </c>
      <c r="K286" t="s">
        <v>664</v>
      </c>
      <c r="L286">
        <v>1348</v>
      </c>
      <c r="N286">
        <v>1009</v>
      </c>
      <c r="O286" t="s">
        <v>75</v>
      </c>
      <c r="P286" t="s">
        <v>75</v>
      </c>
      <c r="Q286">
        <v>1000</v>
      </c>
      <c r="X286">
        <v>5.0999999999999997E-2</v>
      </c>
      <c r="Y286">
        <v>13953.6</v>
      </c>
      <c r="Z286">
        <v>0</v>
      </c>
      <c r="AA286">
        <v>0</v>
      </c>
      <c r="AB286">
        <v>0</v>
      </c>
      <c r="AC286">
        <v>0</v>
      </c>
      <c r="AD286">
        <v>1</v>
      </c>
      <c r="AE286">
        <v>0</v>
      </c>
      <c r="AF286" t="s">
        <v>3</v>
      </c>
      <c r="AG286">
        <v>5.0999999999999997E-2</v>
      </c>
      <c r="AH286">
        <v>2</v>
      </c>
      <c r="AI286">
        <v>53860679</v>
      </c>
      <c r="AJ286">
        <v>179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ROW(Source!A154)</f>
        <v>154</v>
      </c>
      <c r="B287">
        <v>53861308</v>
      </c>
      <c r="C287">
        <v>53860674</v>
      </c>
      <c r="D287">
        <v>39597517</v>
      </c>
      <c r="E287">
        <v>29506949</v>
      </c>
      <c r="F287">
        <v>1</v>
      </c>
      <c r="G287">
        <v>29506949</v>
      </c>
      <c r="H287">
        <v>3</v>
      </c>
      <c r="I287" t="s">
        <v>850</v>
      </c>
      <c r="J287" t="s">
        <v>3</v>
      </c>
      <c r="K287" t="s">
        <v>851</v>
      </c>
      <c r="L287">
        <v>1348</v>
      </c>
      <c r="N287">
        <v>1009</v>
      </c>
      <c r="O287" t="s">
        <v>75</v>
      </c>
      <c r="P287" t="s">
        <v>75</v>
      </c>
      <c r="Q287">
        <v>1000</v>
      </c>
      <c r="X287">
        <v>0.02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 t="s">
        <v>3</v>
      </c>
      <c r="AG287">
        <v>0.02</v>
      </c>
      <c r="AH287">
        <v>3</v>
      </c>
      <c r="AI287">
        <v>-1</v>
      </c>
      <c r="AJ287" t="s">
        <v>3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ROW(Source!A154)</f>
        <v>154</v>
      </c>
      <c r="B288">
        <v>53861309</v>
      </c>
      <c r="C288">
        <v>53860674</v>
      </c>
      <c r="D288">
        <v>39597541</v>
      </c>
      <c r="E288">
        <v>29506949</v>
      </c>
      <c r="F288">
        <v>1</v>
      </c>
      <c r="G288">
        <v>29506949</v>
      </c>
      <c r="H288">
        <v>3</v>
      </c>
      <c r="I288" t="s">
        <v>857</v>
      </c>
      <c r="J288" t="s">
        <v>3</v>
      </c>
      <c r="K288" t="s">
        <v>870</v>
      </c>
      <c r="L288">
        <v>1346</v>
      </c>
      <c r="N288">
        <v>1009</v>
      </c>
      <c r="O288" t="s">
        <v>58</v>
      </c>
      <c r="P288" t="s">
        <v>58</v>
      </c>
      <c r="Q288">
        <v>1</v>
      </c>
      <c r="X288">
        <v>30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 t="s">
        <v>3</v>
      </c>
      <c r="AG288">
        <v>30</v>
      </c>
      <c r="AH288">
        <v>3</v>
      </c>
      <c r="AI288">
        <v>-1</v>
      </c>
      <c r="AJ288" t="s">
        <v>3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ROW(Source!A193)</f>
        <v>193</v>
      </c>
      <c r="B289">
        <v>53861310</v>
      </c>
      <c r="C289">
        <v>53860748</v>
      </c>
      <c r="D289">
        <v>29506954</v>
      </c>
      <c r="E289">
        <v>29506949</v>
      </c>
      <c r="F289">
        <v>1</v>
      </c>
      <c r="G289">
        <v>29506949</v>
      </c>
      <c r="H289">
        <v>1</v>
      </c>
      <c r="I289" t="s">
        <v>638</v>
      </c>
      <c r="J289" t="s">
        <v>3</v>
      </c>
      <c r="K289" t="s">
        <v>639</v>
      </c>
      <c r="L289">
        <v>1191</v>
      </c>
      <c r="N289">
        <v>1013</v>
      </c>
      <c r="O289" t="s">
        <v>640</v>
      </c>
      <c r="P289" t="s">
        <v>640</v>
      </c>
      <c r="Q289">
        <v>1</v>
      </c>
      <c r="X289">
        <v>11.39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3</v>
      </c>
      <c r="AG289">
        <v>11.39</v>
      </c>
      <c r="AH289">
        <v>2</v>
      </c>
      <c r="AI289">
        <v>53860749</v>
      </c>
      <c r="AJ289">
        <v>182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ROW(Source!A193)</f>
        <v>193</v>
      </c>
      <c r="B290">
        <v>53861311</v>
      </c>
      <c r="C290">
        <v>53860748</v>
      </c>
      <c r="D290">
        <v>29529074</v>
      </c>
      <c r="E290">
        <v>29506949</v>
      </c>
      <c r="F290">
        <v>1</v>
      </c>
      <c r="G290">
        <v>29506949</v>
      </c>
      <c r="H290">
        <v>3</v>
      </c>
      <c r="I290" t="s">
        <v>648</v>
      </c>
      <c r="J290" t="s">
        <v>3</v>
      </c>
      <c r="K290" t="s">
        <v>649</v>
      </c>
      <c r="L290">
        <v>1348</v>
      </c>
      <c r="N290">
        <v>1009</v>
      </c>
      <c r="O290" t="s">
        <v>75</v>
      </c>
      <c r="P290" t="s">
        <v>75</v>
      </c>
      <c r="Q290">
        <v>1000</v>
      </c>
      <c r="X290">
        <v>0.47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0</v>
      </c>
      <c r="AF290" t="s">
        <v>3</v>
      </c>
      <c r="AG290">
        <v>0.47</v>
      </c>
      <c r="AH290">
        <v>2</v>
      </c>
      <c r="AI290">
        <v>53860750</v>
      </c>
      <c r="AJ290">
        <v>183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ROW(Source!A194)</f>
        <v>194</v>
      </c>
      <c r="B291">
        <v>53861312</v>
      </c>
      <c r="C291">
        <v>53860753</v>
      </c>
      <c r="D291">
        <v>29506954</v>
      </c>
      <c r="E291">
        <v>29506949</v>
      </c>
      <c r="F291">
        <v>1</v>
      </c>
      <c r="G291">
        <v>29506949</v>
      </c>
      <c r="H291">
        <v>1</v>
      </c>
      <c r="I291" t="s">
        <v>638</v>
      </c>
      <c r="J291" t="s">
        <v>3</v>
      </c>
      <c r="K291" t="s">
        <v>639</v>
      </c>
      <c r="L291">
        <v>1191</v>
      </c>
      <c r="N291">
        <v>1013</v>
      </c>
      <c r="O291" t="s">
        <v>640</v>
      </c>
      <c r="P291" t="s">
        <v>640</v>
      </c>
      <c r="Q291">
        <v>1</v>
      </c>
      <c r="X291">
        <v>3.77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3</v>
      </c>
      <c r="AG291">
        <v>3.77</v>
      </c>
      <c r="AH291">
        <v>2</v>
      </c>
      <c r="AI291">
        <v>53860754</v>
      </c>
      <c r="AJ291">
        <v>184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ROW(Source!A194)</f>
        <v>194</v>
      </c>
      <c r="B292">
        <v>53861313</v>
      </c>
      <c r="C292">
        <v>53860753</v>
      </c>
      <c r="D292">
        <v>29529074</v>
      </c>
      <c r="E292">
        <v>29506949</v>
      </c>
      <c r="F292">
        <v>1</v>
      </c>
      <c r="G292">
        <v>29506949</v>
      </c>
      <c r="H292">
        <v>3</v>
      </c>
      <c r="I292" t="s">
        <v>648</v>
      </c>
      <c r="J292" t="s">
        <v>3</v>
      </c>
      <c r="K292" t="s">
        <v>649</v>
      </c>
      <c r="L292">
        <v>1348</v>
      </c>
      <c r="N292">
        <v>1009</v>
      </c>
      <c r="O292" t="s">
        <v>75</v>
      </c>
      <c r="P292" t="s">
        <v>75</v>
      </c>
      <c r="Q292">
        <v>1000</v>
      </c>
      <c r="X292">
        <v>0.11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0</v>
      </c>
      <c r="AF292" t="s">
        <v>3</v>
      </c>
      <c r="AG292">
        <v>0.11</v>
      </c>
      <c r="AH292">
        <v>2</v>
      </c>
      <c r="AI292">
        <v>53860755</v>
      </c>
      <c r="AJ292">
        <v>185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ROW(Source!A195)</f>
        <v>195</v>
      </c>
      <c r="B293">
        <v>53861314</v>
      </c>
      <c r="C293">
        <v>53860758</v>
      </c>
      <c r="D293">
        <v>29506954</v>
      </c>
      <c r="E293">
        <v>29506949</v>
      </c>
      <c r="F293">
        <v>1</v>
      </c>
      <c r="G293">
        <v>29506949</v>
      </c>
      <c r="H293">
        <v>1</v>
      </c>
      <c r="I293" t="s">
        <v>638</v>
      </c>
      <c r="J293" t="s">
        <v>3</v>
      </c>
      <c r="K293" t="s">
        <v>639</v>
      </c>
      <c r="L293">
        <v>1191</v>
      </c>
      <c r="N293">
        <v>1013</v>
      </c>
      <c r="O293" t="s">
        <v>640</v>
      </c>
      <c r="P293" t="s">
        <v>640</v>
      </c>
      <c r="Q293">
        <v>1</v>
      </c>
      <c r="X293">
        <v>69.87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1</v>
      </c>
      <c r="AF293" t="s">
        <v>218</v>
      </c>
      <c r="AG293">
        <v>41.922000000000004</v>
      </c>
      <c r="AH293">
        <v>3</v>
      </c>
      <c r="AI293">
        <v>-1</v>
      </c>
      <c r="AJ293" t="s">
        <v>3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ROW(Source!A195)</f>
        <v>195</v>
      </c>
      <c r="B294">
        <v>53861315</v>
      </c>
      <c r="C294">
        <v>53860758</v>
      </c>
      <c r="D294">
        <v>29580109</v>
      </c>
      <c r="E294">
        <v>1</v>
      </c>
      <c r="F294">
        <v>1</v>
      </c>
      <c r="G294">
        <v>29506949</v>
      </c>
      <c r="H294">
        <v>2</v>
      </c>
      <c r="I294" t="s">
        <v>754</v>
      </c>
      <c r="J294" t="s">
        <v>755</v>
      </c>
      <c r="K294" t="s">
        <v>756</v>
      </c>
      <c r="L294">
        <v>1368</v>
      </c>
      <c r="N294">
        <v>1011</v>
      </c>
      <c r="O294" t="s">
        <v>647</v>
      </c>
      <c r="P294" t="s">
        <v>647</v>
      </c>
      <c r="Q294">
        <v>1</v>
      </c>
      <c r="X294">
        <v>1.44</v>
      </c>
      <c r="Y294">
        <v>0</v>
      </c>
      <c r="Z294">
        <v>34.479999999999997</v>
      </c>
      <c r="AA294">
        <v>12.62</v>
      </c>
      <c r="AB294">
        <v>0</v>
      </c>
      <c r="AC294">
        <v>0</v>
      </c>
      <c r="AD294">
        <v>1</v>
      </c>
      <c r="AE294">
        <v>0</v>
      </c>
      <c r="AF294" t="s">
        <v>218</v>
      </c>
      <c r="AG294">
        <v>0.86399999999999999</v>
      </c>
      <c r="AH294">
        <v>3</v>
      </c>
      <c r="AI294">
        <v>-1</v>
      </c>
      <c r="AJ294" t="s">
        <v>3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ROW(Source!A195)</f>
        <v>195</v>
      </c>
      <c r="B295">
        <v>53861316</v>
      </c>
      <c r="C295">
        <v>53860758</v>
      </c>
      <c r="D295">
        <v>29580569</v>
      </c>
      <c r="E295">
        <v>1</v>
      </c>
      <c r="F295">
        <v>1</v>
      </c>
      <c r="G295">
        <v>29506949</v>
      </c>
      <c r="H295">
        <v>2</v>
      </c>
      <c r="I295" t="s">
        <v>757</v>
      </c>
      <c r="J295" t="s">
        <v>758</v>
      </c>
      <c r="K295" t="s">
        <v>759</v>
      </c>
      <c r="L295">
        <v>1368</v>
      </c>
      <c r="N295">
        <v>1011</v>
      </c>
      <c r="O295" t="s">
        <v>647</v>
      </c>
      <c r="P295" t="s">
        <v>647</v>
      </c>
      <c r="Q295">
        <v>1</v>
      </c>
      <c r="X295">
        <v>1.44</v>
      </c>
      <c r="Y295">
        <v>0</v>
      </c>
      <c r="Z295">
        <v>0.5</v>
      </c>
      <c r="AA295">
        <v>0</v>
      </c>
      <c r="AB295">
        <v>0</v>
      </c>
      <c r="AC295">
        <v>0</v>
      </c>
      <c r="AD295">
        <v>1</v>
      </c>
      <c r="AE295">
        <v>0</v>
      </c>
      <c r="AF295" t="s">
        <v>218</v>
      </c>
      <c r="AG295">
        <v>0.86399999999999999</v>
      </c>
      <c r="AH295">
        <v>3</v>
      </c>
      <c r="AI295">
        <v>-1</v>
      </c>
      <c r="AJ295" t="s">
        <v>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ROW(Source!A195)</f>
        <v>195</v>
      </c>
      <c r="B296">
        <v>53861317</v>
      </c>
      <c r="C296">
        <v>53860758</v>
      </c>
      <c r="D296">
        <v>29529074</v>
      </c>
      <c r="E296">
        <v>29506949</v>
      </c>
      <c r="F296">
        <v>1</v>
      </c>
      <c r="G296">
        <v>29506949</v>
      </c>
      <c r="H296">
        <v>3</v>
      </c>
      <c r="I296" t="s">
        <v>648</v>
      </c>
      <c r="J296" t="s">
        <v>3</v>
      </c>
      <c r="K296" t="s">
        <v>649</v>
      </c>
      <c r="L296">
        <v>1348</v>
      </c>
      <c r="N296">
        <v>1009</v>
      </c>
      <c r="O296" t="s">
        <v>75</v>
      </c>
      <c r="P296" t="s">
        <v>75</v>
      </c>
      <c r="Q296">
        <v>1000</v>
      </c>
      <c r="X296">
        <v>5.2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1</v>
      </c>
      <c r="AE296">
        <v>0</v>
      </c>
      <c r="AF296" t="s">
        <v>3</v>
      </c>
      <c r="AG296">
        <v>5.2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ROW(Source!A196)</f>
        <v>196</v>
      </c>
      <c r="B297">
        <v>53861318</v>
      </c>
      <c r="C297">
        <v>53860759</v>
      </c>
      <c r="D297">
        <v>29506954</v>
      </c>
      <c r="E297">
        <v>29506949</v>
      </c>
      <c r="F297">
        <v>1</v>
      </c>
      <c r="G297">
        <v>29506949</v>
      </c>
      <c r="H297">
        <v>1</v>
      </c>
      <c r="I297" t="s">
        <v>638</v>
      </c>
      <c r="J297" t="s">
        <v>3</v>
      </c>
      <c r="K297" t="s">
        <v>639</v>
      </c>
      <c r="L297">
        <v>1191</v>
      </c>
      <c r="N297">
        <v>1013</v>
      </c>
      <c r="O297" t="s">
        <v>640</v>
      </c>
      <c r="P297" t="s">
        <v>640</v>
      </c>
      <c r="Q297">
        <v>1</v>
      </c>
      <c r="X297">
        <v>24.6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</v>
      </c>
      <c r="AE297">
        <v>1</v>
      </c>
      <c r="AF297" t="s">
        <v>3</v>
      </c>
      <c r="AG297">
        <v>24.6</v>
      </c>
      <c r="AH297">
        <v>2</v>
      </c>
      <c r="AI297">
        <v>53860760</v>
      </c>
      <c r="AJ297">
        <v>186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ROW(Source!A196)</f>
        <v>196</v>
      </c>
      <c r="B298">
        <v>53861319</v>
      </c>
      <c r="C298">
        <v>53860759</v>
      </c>
      <c r="D298">
        <v>29580109</v>
      </c>
      <c r="E298">
        <v>1</v>
      </c>
      <c r="F298">
        <v>1</v>
      </c>
      <c r="G298">
        <v>29506949</v>
      </c>
      <c r="H298">
        <v>2</v>
      </c>
      <c r="I298" t="s">
        <v>754</v>
      </c>
      <c r="J298" t="s">
        <v>755</v>
      </c>
      <c r="K298" t="s">
        <v>756</v>
      </c>
      <c r="L298">
        <v>1368</v>
      </c>
      <c r="N298">
        <v>1011</v>
      </c>
      <c r="O298" t="s">
        <v>647</v>
      </c>
      <c r="P298" t="s">
        <v>647</v>
      </c>
      <c r="Q298">
        <v>1</v>
      </c>
      <c r="X298">
        <v>10.4</v>
      </c>
      <c r="Y298">
        <v>0</v>
      </c>
      <c r="Z298">
        <v>34.479999999999997</v>
      </c>
      <c r="AA298">
        <v>12.62</v>
      </c>
      <c r="AB298">
        <v>0</v>
      </c>
      <c r="AC298">
        <v>0</v>
      </c>
      <c r="AD298">
        <v>1</v>
      </c>
      <c r="AE298">
        <v>0</v>
      </c>
      <c r="AF298" t="s">
        <v>3</v>
      </c>
      <c r="AG298">
        <v>10.4</v>
      </c>
      <c r="AH298">
        <v>2</v>
      </c>
      <c r="AI298">
        <v>53860761</v>
      </c>
      <c r="AJ298">
        <v>187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ROW(Source!A196)</f>
        <v>196</v>
      </c>
      <c r="B299">
        <v>53861320</v>
      </c>
      <c r="C299">
        <v>53860759</v>
      </c>
      <c r="D299">
        <v>29580569</v>
      </c>
      <c r="E299">
        <v>1</v>
      </c>
      <c r="F299">
        <v>1</v>
      </c>
      <c r="G299">
        <v>29506949</v>
      </c>
      <c r="H299">
        <v>2</v>
      </c>
      <c r="I299" t="s">
        <v>757</v>
      </c>
      <c r="J299" t="s">
        <v>758</v>
      </c>
      <c r="K299" t="s">
        <v>759</v>
      </c>
      <c r="L299">
        <v>1368</v>
      </c>
      <c r="N299">
        <v>1011</v>
      </c>
      <c r="O299" t="s">
        <v>647</v>
      </c>
      <c r="P299" t="s">
        <v>647</v>
      </c>
      <c r="Q299">
        <v>1</v>
      </c>
      <c r="X299">
        <v>10.4</v>
      </c>
      <c r="Y299">
        <v>0</v>
      </c>
      <c r="Z299">
        <v>0.5</v>
      </c>
      <c r="AA299">
        <v>0</v>
      </c>
      <c r="AB299">
        <v>0</v>
      </c>
      <c r="AC299">
        <v>0</v>
      </c>
      <c r="AD299">
        <v>1</v>
      </c>
      <c r="AE299">
        <v>0</v>
      </c>
      <c r="AF299" t="s">
        <v>3</v>
      </c>
      <c r="AG299">
        <v>10.4</v>
      </c>
      <c r="AH299">
        <v>2</v>
      </c>
      <c r="AI299">
        <v>53860762</v>
      </c>
      <c r="AJ299">
        <v>188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ROW(Source!A196)</f>
        <v>196</v>
      </c>
      <c r="B300">
        <v>53861321</v>
      </c>
      <c r="C300">
        <v>53860759</v>
      </c>
      <c r="D300">
        <v>29529074</v>
      </c>
      <c r="E300">
        <v>29506949</v>
      </c>
      <c r="F300">
        <v>1</v>
      </c>
      <c r="G300">
        <v>29506949</v>
      </c>
      <c r="H300">
        <v>3</v>
      </c>
      <c r="I300" t="s">
        <v>648</v>
      </c>
      <c r="J300" t="s">
        <v>3</v>
      </c>
      <c r="K300" t="s">
        <v>649</v>
      </c>
      <c r="L300">
        <v>1348</v>
      </c>
      <c r="N300">
        <v>1009</v>
      </c>
      <c r="O300" t="s">
        <v>75</v>
      </c>
      <c r="P300" t="s">
        <v>75</v>
      </c>
      <c r="Q300">
        <v>1000</v>
      </c>
      <c r="X300">
        <v>6.6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</v>
      </c>
      <c r="AE300">
        <v>0</v>
      </c>
      <c r="AF300" t="s">
        <v>3</v>
      </c>
      <c r="AG300">
        <v>6.6</v>
      </c>
      <c r="AH300">
        <v>2</v>
      </c>
      <c r="AI300">
        <v>53860763</v>
      </c>
      <c r="AJ300">
        <v>189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ROW(Source!A197)</f>
        <v>197</v>
      </c>
      <c r="B301">
        <v>53861322</v>
      </c>
      <c r="C301">
        <v>53860768</v>
      </c>
      <c r="D301">
        <v>29506954</v>
      </c>
      <c r="E301">
        <v>29506949</v>
      </c>
      <c r="F301">
        <v>1</v>
      </c>
      <c r="G301">
        <v>29506949</v>
      </c>
      <c r="H301">
        <v>1</v>
      </c>
      <c r="I301" t="s">
        <v>638</v>
      </c>
      <c r="J301" t="s">
        <v>3</v>
      </c>
      <c r="K301" t="s">
        <v>639</v>
      </c>
      <c r="L301">
        <v>1191</v>
      </c>
      <c r="N301">
        <v>1013</v>
      </c>
      <c r="O301" t="s">
        <v>640</v>
      </c>
      <c r="P301" t="s">
        <v>640</v>
      </c>
      <c r="Q301">
        <v>1</v>
      </c>
      <c r="X301">
        <v>3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1</v>
      </c>
      <c r="AE301">
        <v>1</v>
      </c>
      <c r="AF301" t="s">
        <v>398</v>
      </c>
      <c r="AG301">
        <v>6</v>
      </c>
      <c r="AH301">
        <v>2</v>
      </c>
      <c r="AI301">
        <v>53860769</v>
      </c>
      <c r="AJ301">
        <v>190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ROW(Source!A197)</f>
        <v>197</v>
      </c>
      <c r="B302">
        <v>53861323</v>
      </c>
      <c r="C302">
        <v>53860768</v>
      </c>
      <c r="D302">
        <v>29529074</v>
      </c>
      <c r="E302">
        <v>29506949</v>
      </c>
      <c r="F302">
        <v>1</v>
      </c>
      <c r="G302">
        <v>29506949</v>
      </c>
      <c r="H302">
        <v>3</v>
      </c>
      <c r="I302" t="s">
        <v>648</v>
      </c>
      <c r="J302" t="s">
        <v>3</v>
      </c>
      <c r="K302" t="s">
        <v>649</v>
      </c>
      <c r="L302">
        <v>1348</v>
      </c>
      <c r="N302">
        <v>1009</v>
      </c>
      <c r="O302" t="s">
        <v>75</v>
      </c>
      <c r="P302" t="s">
        <v>75</v>
      </c>
      <c r="Q302">
        <v>1000</v>
      </c>
      <c r="X302">
        <v>1.1000000000000001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0</v>
      </c>
      <c r="AF302" t="s">
        <v>398</v>
      </c>
      <c r="AG302">
        <v>2.2000000000000002</v>
      </c>
      <c r="AH302">
        <v>2</v>
      </c>
      <c r="AI302">
        <v>53860770</v>
      </c>
      <c r="AJ302">
        <v>191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ROW(Source!A199)</f>
        <v>199</v>
      </c>
      <c r="B303">
        <v>53861324</v>
      </c>
      <c r="C303">
        <v>53860774</v>
      </c>
      <c r="D303">
        <v>29506954</v>
      </c>
      <c r="E303">
        <v>29506949</v>
      </c>
      <c r="F303">
        <v>1</v>
      </c>
      <c r="G303">
        <v>29506949</v>
      </c>
      <c r="H303">
        <v>1</v>
      </c>
      <c r="I303" t="s">
        <v>638</v>
      </c>
      <c r="J303" t="s">
        <v>3</v>
      </c>
      <c r="K303" t="s">
        <v>639</v>
      </c>
      <c r="L303">
        <v>1191</v>
      </c>
      <c r="N303">
        <v>1013</v>
      </c>
      <c r="O303" t="s">
        <v>640</v>
      </c>
      <c r="P303" t="s">
        <v>640</v>
      </c>
      <c r="Q303">
        <v>1</v>
      </c>
      <c r="X303">
        <v>85.24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52</v>
      </c>
      <c r="AG303">
        <v>98.025999999999982</v>
      </c>
      <c r="AH303">
        <v>2</v>
      </c>
      <c r="AI303">
        <v>53860775</v>
      </c>
      <c r="AJ303">
        <v>192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ROW(Source!A199)</f>
        <v>199</v>
      </c>
      <c r="B304">
        <v>53861325</v>
      </c>
      <c r="C304">
        <v>53860774</v>
      </c>
      <c r="D304">
        <v>29580002</v>
      </c>
      <c r="E304">
        <v>1</v>
      </c>
      <c r="F304">
        <v>1</v>
      </c>
      <c r="G304">
        <v>29506949</v>
      </c>
      <c r="H304">
        <v>2</v>
      </c>
      <c r="I304" t="s">
        <v>760</v>
      </c>
      <c r="J304" t="s">
        <v>761</v>
      </c>
      <c r="K304" t="s">
        <v>762</v>
      </c>
      <c r="L304">
        <v>1368</v>
      </c>
      <c r="N304">
        <v>1011</v>
      </c>
      <c r="O304" t="s">
        <v>647</v>
      </c>
      <c r="P304" t="s">
        <v>647</v>
      </c>
      <c r="Q304">
        <v>1</v>
      </c>
      <c r="X304">
        <v>0.72</v>
      </c>
      <c r="Y304">
        <v>0</v>
      </c>
      <c r="Z304">
        <v>13.07</v>
      </c>
      <c r="AA304">
        <v>11.18</v>
      </c>
      <c r="AB304">
        <v>0</v>
      </c>
      <c r="AC304">
        <v>0</v>
      </c>
      <c r="AD304">
        <v>1</v>
      </c>
      <c r="AE304">
        <v>0</v>
      </c>
      <c r="AF304" t="s">
        <v>51</v>
      </c>
      <c r="AG304">
        <v>0.89999999999999991</v>
      </c>
      <c r="AH304">
        <v>2</v>
      </c>
      <c r="AI304">
        <v>53860776</v>
      </c>
      <c r="AJ304">
        <v>193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ROW(Source!A199)</f>
        <v>199</v>
      </c>
      <c r="B305">
        <v>53861326</v>
      </c>
      <c r="C305">
        <v>53860774</v>
      </c>
      <c r="D305">
        <v>29555598</v>
      </c>
      <c r="E305">
        <v>1</v>
      </c>
      <c r="F305">
        <v>1</v>
      </c>
      <c r="G305">
        <v>29506949</v>
      </c>
      <c r="H305">
        <v>3</v>
      </c>
      <c r="I305" t="s">
        <v>68</v>
      </c>
      <c r="J305" t="s">
        <v>71</v>
      </c>
      <c r="K305" t="s">
        <v>69</v>
      </c>
      <c r="L305">
        <v>1339</v>
      </c>
      <c r="N305">
        <v>1007</v>
      </c>
      <c r="O305" t="s">
        <v>70</v>
      </c>
      <c r="P305" t="s">
        <v>70</v>
      </c>
      <c r="Q305">
        <v>1</v>
      </c>
      <c r="X305">
        <v>0.11</v>
      </c>
      <c r="Y305">
        <v>7.07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0</v>
      </c>
      <c r="AF305" t="s">
        <v>3</v>
      </c>
      <c r="AG305">
        <v>0.11</v>
      </c>
      <c r="AH305">
        <v>2</v>
      </c>
      <c r="AI305">
        <v>53860777</v>
      </c>
      <c r="AJ305">
        <v>194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ROW(Source!A199)</f>
        <v>199</v>
      </c>
      <c r="B306">
        <v>53861327</v>
      </c>
      <c r="C306">
        <v>53860774</v>
      </c>
      <c r="D306">
        <v>29523628</v>
      </c>
      <c r="E306">
        <v>29506949</v>
      </c>
      <c r="F306">
        <v>1</v>
      </c>
      <c r="G306">
        <v>29506949</v>
      </c>
      <c r="H306">
        <v>3</v>
      </c>
      <c r="I306" t="s">
        <v>928</v>
      </c>
      <c r="J306" t="s">
        <v>3</v>
      </c>
      <c r="K306" t="s">
        <v>929</v>
      </c>
      <c r="L306">
        <v>1346</v>
      </c>
      <c r="N306">
        <v>1009</v>
      </c>
      <c r="O306" t="s">
        <v>58</v>
      </c>
      <c r="P306" t="s">
        <v>58</v>
      </c>
      <c r="Q306">
        <v>1</v>
      </c>
      <c r="X306">
        <v>312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 t="s">
        <v>3</v>
      </c>
      <c r="AG306">
        <v>312</v>
      </c>
      <c r="AH306">
        <v>3</v>
      </c>
      <c r="AI306">
        <v>-1</v>
      </c>
      <c r="AJ306" t="s">
        <v>3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ROW(Source!A201)</f>
        <v>201</v>
      </c>
      <c r="B307">
        <v>53861328</v>
      </c>
      <c r="C307">
        <v>53860784</v>
      </c>
      <c r="D307">
        <v>29506954</v>
      </c>
      <c r="E307">
        <v>29506949</v>
      </c>
      <c r="F307">
        <v>1</v>
      </c>
      <c r="G307">
        <v>29506949</v>
      </c>
      <c r="H307">
        <v>1</v>
      </c>
      <c r="I307" t="s">
        <v>638</v>
      </c>
      <c r="J307" t="s">
        <v>3</v>
      </c>
      <c r="K307" t="s">
        <v>639</v>
      </c>
      <c r="L307">
        <v>1191</v>
      </c>
      <c r="N307">
        <v>1013</v>
      </c>
      <c r="O307" t="s">
        <v>640</v>
      </c>
      <c r="P307" t="s">
        <v>640</v>
      </c>
      <c r="Q307">
        <v>1</v>
      </c>
      <c r="X307">
        <v>23.33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1</v>
      </c>
      <c r="AF307" t="s">
        <v>52</v>
      </c>
      <c r="AG307">
        <v>26.829499999999996</v>
      </c>
      <c r="AH307">
        <v>2</v>
      </c>
      <c r="AI307">
        <v>53860785</v>
      </c>
      <c r="AJ307">
        <v>196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ROW(Source!A201)</f>
        <v>201</v>
      </c>
      <c r="B308">
        <v>53861329</v>
      </c>
      <c r="C308">
        <v>53860784</v>
      </c>
      <c r="D308">
        <v>29580021</v>
      </c>
      <c r="E308">
        <v>1</v>
      </c>
      <c r="F308">
        <v>1</v>
      </c>
      <c r="G308">
        <v>29506949</v>
      </c>
      <c r="H308">
        <v>2</v>
      </c>
      <c r="I308" t="s">
        <v>763</v>
      </c>
      <c r="J308" t="s">
        <v>764</v>
      </c>
      <c r="K308" t="s">
        <v>765</v>
      </c>
      <c r="L308">
        <v>1368</v>
      </c>
      <c r="N308">
        <v>1011</v>
      </c>
      <c r="O308" t="s">
        <v>647</v>
      </c>
      <c r="P308" t="s">
        <v>647</v>
      </c>
      <c r="Q308">
        <v>1</v>
      </c>
      <c r="X308">
        <v>7.82</v>
      </c>
      <c r="Y308">
        <v>0</v>
      </c>
      <c r="Z308">
        <v>0.23</v>
      </c>
      <c r="AA308">
        <v>0</v>
      </c>
      <c r="AB308">
        <v>0</v>
      </c>
      <c r="AC308">
        <v>0</v>
      </c>
      <c r="AD308">
        <v>1</v>
      </c>
      <c r="AE308">
        <v>0</v>
      </c>
      <c r="AF308" t="s">
        <v>51</v>
      </c>
      <c r="AG308">
        <v>9.7750000000000004</v>
      </c>
      <c r="AH308">
        <v>2</v>
      </c>
      <c r="AI308">
        <v>53860786</v>
      </c>
      <c r="AJ308">
        <v>197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ROW(Source!A201)</f>
        <v>201</v>
      </c>
      <c r="B309">
        <v>53861330</v>
      </c>
      <c r="C309">
        <v>53860784</v>
      </c>
      <c r="D309">
        <v>29555598</v>
      </c>
      <c r="E309">
        <v>1</v>
      </c>
      <c r="F309">
        <v>1</v>
      </c>
      <c r="G309">
        <v>29506949</v>
      </c>
      <c r="H309">
        <v>3</v>
      </c>
      <c r="I309" t="s">
        <v>68</v>
      </c>
      <c r="J309" t="s">
        <v>71</v>
      </c>
      <c r="K309" t="s">
        <v>69</v>
      </c>
      <c r="L309">
        <v>1339</v>
      </c>
      <c r="N309">
        <v>1007</v>
      </c>
      <c r="O309" t="s">
        <v>70</v>
      </c>
      <c r="P309" t="s">
        <v>70</v>
      </c>
      <c r="Q309">
        <v>1</v>
      </c>
      <c r="X309">
        <v>3.5</v>
      </c>
      <c r="Y309">
        <v>7.07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0</v>
      </c>
      <c r="AF309" t="s">
        <v>3</v>
      </c>
      <c r="AG309">
        <v>3.5</v>
      </c>
      <c r="AH309">
        <v>2</v>
      </c>
      <c r="AI309">
        <v>53860787</v>
      </c>
      <c r="AJ309">
        <v>198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ROW(Source!A201)</f>
        <v>201</v>
      </c>
      <c r="B310">
        <v>53861331</v>
      </c>
      <c r="C310">
        <v>53860784</v>
      </c>
      <c r="D310">
        <v>29523373</v>
      </c>
      <c r="E310">
        <v>29506949</v>
      </c>
      <c r="F310">
        <v>1</v>
      </c>
      <c r="G310">
        <v>29506949</v>
      </c>
      <c r="H310">
        <v>3</v>
      </c>
      <c r="I310" t="s">
        <v>930</v>
      </c>
      <c r="J310" t="s">
        <v>3</v>
      </c>
      <c r="K310" t="s">
        <v>931</v>
      </c>
      <c r="L310">
        <v>1339</v>
      </c>
      <c r="N310">
        <v>1007</v>
      </c>
      <c r="O310" t="s">
        <v>70</v>
      </c>
      <c r="P310" t="s">
        <v>70</v>
      </c>
      <c r="Q310">
        <v>1</v>
      </c>
      <c r="X310">
        <v>2.04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 t="s">
        <v>3</v>
      </c>
      <c r="AG310">
        <v>2.04</v>
      </c>
      <c r="AH310">
        <v>3</v>
      </c>
      <c r="AI310">
        <v>-1</v>
      </c>
      <c r="AJ310" t="s">
        <v>3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ROW(Source!A203)</f>
        <v>203</v>
      </c>
      <c r="B311">
        <v>53861332</v>
      </c>
      <c r="C311">
        <v>53860794</v>
      </c>
      <c r="D311">
        <v>29506954</v>
      </c>
      <c r="E311">
        <v>29506949</v>
      </c>
      <c r="F311">
        <v>1</v>
      </c>
      <c r="G311">
        <v>29506949</v>
      </c>
      <c r="H311">
        <v>1</v>
      </c>
      <c r="I311" t="s">
        <v>638</v>
      </c>
      <c r="J311" t="s">
        <v>3</v>
      </c>
      <c r="K311" t="s">
        <v>639</v>
      </c>
      <c r="L311">
        <v>1191</v>
      </c>
      <c r="N311">
        <v>1013</v>
      </c>
      <c r="O311" t="s">
        <v>640</v>
      </c>
      <c r="P311" t="s">
        <v>640</v>
      </c>
      <c r="Q311">
        <v>1</v>
      </c>
      <c r="X311">
        <v>0.44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423</v>
      </c>
      <c r="AG311">
        <v>2.024</v>
      </c>
      <c r="AH311">
        <v>2</v>
      </c>
      <c r="AI311">
        <v>53860795</v>
      </c>
      <c r="AJ311">
        <v>200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ROW(Source!A203)</f>
        <v>203</v>
      </c>
      <c r="B312">
        <v>53861333</v>
      </c>
      <c r="C312">
        <v>53860794</v>
      </c>
      <c r="D312">
        <v>29580021</v>
      </c>
      <c r="E312">
        <v>1</v>
      </c>
      <c r="F312">
        <v>1</v>
      </c>
      <c r="G312">
        <v>29506949</v>
      </c>
      <c r="H312">
        <v>2</v>
      </c>
      <c r="I312" t="s">
        <v>763</v>
      </c>
      <c r="J312" t="s">
        <v>764</v>
      </c>
      <c r="K312" t="s">
        <v>765</v>
      </c>
      <c r="L312">
        <v>1368</v>
      </c>
      <c r="N312">
        <v>1011</v>
      </c>
      <c r="O312" t="s">
        <v>647</v>
      </c>
      <c r="P312" t="s">
        <v>647</v>
      </c>
      <c r="Q312">
        <v>1</v>
      </c>
      <c r="X312">
        <v>2</v>
      </c>
      <c r="Y312">
        <v>0</v>
      </c>
      <c r="Z312">
        <v>0.23</v>
      </c>
      <c r="AA312">
        <v>0</v>
      </c>
      <c r="AB312">
        <v>0</v>
      </c>
      <c r="AC312">
        <v>0</v>
      </c>
      <c r="AD312">
        <v>1</v>
      </c>
      <c r="AE312">
        <v>0</v>
      </c>
      <c r="AF312" t="s">
        <v>422</v>
      </c>
      <c r="AG312">
        <v>10</v>
      </c>
      <c r="AH312">
        <v>2</v>
      </c>
      <c r="AI312">
        <v>53860796</v>
      </c>
      <c r="AJ312">
        <v>201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ROW(Source!A203)</f>
        <v>203</v>
      </c>
      <c r="B313">
        <v>53861334</v>
      </c>
      <c r="C313">
        <v>53860794</v>
      </c>
      <c r="D313">
        <v>29523373</v>
      </c>
      <c r="E313">
        <v>29506949</v>
      </c>
      <c r="F313">
        <v>1</v>
      </c>
      <c r="G313">
        <v>29506949</v>
      </c>
      <c r="H313">
        <v>3</v>
      </c>
      <c r="I313" t="s">
        <v>930</v>
      </c>
      <c r="J313" t="s">
        <v>3</v>
      </c>
      <c r="K313" t="s">
        <v>931</v>
      </c>
      <c r="L313">
        <v>1339</v>
      </c>
      <c r="N313">
        <v>1007</v>
      </c>
      <c r="O313" t="s">
        <v>70</v>
      </c>
      <c r="P313" t="s">
        <v>70</v>
      </c>
      <c r="Q313">
        <v>1</v>
      </c>
      <c r="X313">
        <v>0.51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 t="s">
        <v>421</v>
      </c>
      <c r="AG313">
        <v>2.04</v>
      </c>
      <c r="AH313">
        <v>3</v>
      </c>
      <c r="AI313">
        <v>-1</v>
      </c>
      <c r="AJ313" t="s">
        <v>3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ROW(Source!A205)</f>
        <v>205</v>
      </c>
      <c r="B314">
        <v>53861335</v>
      </c>
      <c r="C314">
        <v>53860802</v>
      </c>
      <c r="D314">
        <v>29506954</v>
      </c>
      <c r="E314">
        <v>29506949</v>
      </c>
      <c r="F314">
        <v>1</v>
      </c>
      <c r="G314">
        <v>29506949</v>
      </c>
      <c r="H314">
        <v>1</v>
      </c>
      <c r="I314" t="s">
        <v>638</v>
      </c>
      <c r="J314" t="s">
        <v>3</v>
      </c>
      <c r="K314" t="s">
        <v>639</v>
      </c>
      <c r="L314">
        <v>1191</v>
      </c>
      <c r="N314">
        <v>1013</v>
      </c>
      <c r="O314" t="s">
        <v>640</v>
      </c>
      <c r="P314" t="s">
        <v>640</v>
      </c>
      <c r="Q314">
        <v>1</v>
      </c>
      <c r="X314">
        <v>11.6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52</v>
      </c>
      <c r="AG314">
        <v>13.339999999999998</v>
      </c>
      <c r="AH314">
        <v>2</v>
      </c>
      <c r="AI314">
        <v>53860803</v>
      </c>
      <c r="AJ314">
        <v>203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  <row r="315" spans="1:44" x14ac:dyDescent="0.2">
      <c r="A315">
        <f>ROW(Source!A205)</f>
        <v>205</v>
      </c>
      <c r="B315">
        <v>53861336</v>
      </c>
      <c r="C315">
        <v>53860802</v>
      </c>
      <c r="D315">
        <v>29580491</v>
      </c>
      <c r="E315">
        <v>1</v>
      </c>
      <c r="F315">
        <v>1</v>
      </c>
      <c r="G315">
        <v>29506949</v>
      </c>
      <c r="H315">
        <v>2</v>
      </c>
      <c r="I315" t="s">
        <v>650</v>
      </c>
      <c r="J315" t="s">
        <v>651</v>
      </c>
      <c r="K315" t="s">
        <v>652</v>
      </c>
      <c r="L315">
        <v>1368</v>
      </c>
      <c r="N315">
        <v>1011</v>
      </c>
      <c r="O315" t="s">
        <v>647</v>
      </c>
      <c r="P315" t="s">
        <v>647</v>
      </c>
      <c r="Q315">
        <v>1</v>
      </c>
      <c r="X315">
        <v>0.2</v>
      </c>
      <c r="Y315">
        <v>0</v>
      </c>
      <c r="Z315">
        <v>83.1</v>
      </c>
      <c r="AA315">
        <v>12.62</v>
      </c>
      <c r="AB315">
        <v>0</v>
      </c>
      <c r="AC315">
        <v>0</v>
      </c>
      <c r="AD315">
        <v>1</v>
      </c>
      <c r="AE315">
        <v>0</v>
      </c>
      <c r="AF315" t="s">
        <v>51</v>
      </c>
      <c r="AG315">
        <v>0.25</v>
      </c>
      <c r="AH315">
        <v>2</v>
      </c>
      <c r="AI315">
        <v>53860804</v>
      </c>
      <c r="AJ315">
        <v>204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</row>
    <row r="316" spans="1:44" x14ac:dyDescent="0.2">
      <c r="A316">
        <f>ROW(Source!A205)</f>
        <v>205</v>
      </c>
      <c r="B316">
        <v>53861337</v>
      </c>
      <c r="C316">
        <v>53860802</v>
      </c>
      <c r="D316">
        <v>29579738</v>
      </c>
      <c r="E316">
        <v>1</v>
      </c>
      <c r="F316">
        <v>1</v>
      </c>
      <c r="G316">
        <v>29506949</v>
      </c>
      <c r="H316">
        <v>2</v>
      </c>
      <c r="I316" t="s">
        <v>665</v>
      </c>
      <c r="J316" t="s">
        <v>666</v>
      </c>
      <c r="K316" t="s">
        <v>667</v>
      </c>
      <c r="L316">
        <v>1368</v>
      </c>
      <c r="N316">
        <v>1011</v>
      </c>
      <c r="O316" t="s">
        <v>647</v>
      </c>
      <c r="P316" t="s">
        <v>647</v>
      </c>
      <c r="Q316">
        <v>1</v>
      </c>
      <c r="X316">
        <v>0.15</v>
      </c>
      <c r="Y316">
        <v>0</v>
      </c>
      <c r="Z316">
        <v>179.17</v>
      </c>
      <c r="AA316">
        <v>16.93</v>
      </c>
      <c r="AB316">
        <v>0</v>
      </c>
      <c r="AC316">
        <v>0</v>
      </c>
      <c r="AD316">
        <v>1</v>
      </c>
      <c r="AE316">
        <v>0</v>
      </c>
      <c r="AF316" t="s">
        <v>51</v>
      </c>
      <c r="AG316">
        <v>0.1875</v>
      </c>
      <c r="AH316">
        <v>2</v>
      </c>
      <c r="AI316">
        <v>53860805</v>
      </c>
      <c r="AJ316">
        <v>205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</row>
    <row r="317" spans="1:44" x14ac:dyDescent="0.2">
      <c r="A317">
        <f>ROW(Source!A205)</f>
        <v>205</v>
      </c>
      <c r="B317">
        <v>53861338</v>
      </c>
      <c r="C317">
        <v>53860802</v>
      </c>
      <c r="D317">
        <v>29523533</v>
      </c>
      <c r="E317">
        <v>29506949</v>
      </c>
      <c r="F317">
        <v>1</v>
      </c>
      <c r="G317">
        <v>29506949</v>
      </c>
      <c r="H317">
        <v>3</v>
      </c>
      <c r="I317" t="s">
        <v>932</v>
      </c>
      <c r="J317" t="s">
        <v>3</v>
      </c>
      <c r="K317" t="s">
        <v>933</v>
      </c>
      <c r="L317">
        <v>1348</v>
      </c>
      <c r="N317">
        <v>1009</v>
      </c>
      <c r="O317" t="s">
        <v>75</v>
      </c>
      <c r="P317" t="s">
        <v>75</v>
      </c>
      <c r="Q317">
        <v>1000</v>
      </c>
      <c r="X317">
        <v>1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 t="s">
        <v>3</v>
      </c>
      <c r="AG317">
        <v>1</v>
      </c>
      <c r="AH317">
        <v>3</v>
      </c>
      <c r="AI317">
        <v>-1</v>
      </c>
      <c r="AJ317" t="s">
        <v>3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</row>
    <row r="318" spans="1:44" x14ac:dyDescent="0.2">
      <c r="A318">
        <f>ROW(Source!A205)</f>
        <v>205</v>
      </c>
      <c r="B318">
        <v>53861339</v>
      </c>
      <c r="C318">
        <v>53860802</v>
      </c>
      <c r="D318">
        <v>29556332</v>
      </c>
      <c r="E318">
        <v>1</v>
      </c>
      <c r="F318">
        <v>1</v>
      </c>
      <c r="G318">
        <v>29506949</v>
      </c>
      <c r="H318">
        <v>3</v>
      </c>
      <c r="I318" t="s">
        <v>766</v>
      </c>
      <c r="J318" t="s">
        <v>767</v>
      </c>
      <c r="K318" t="s">
        <v>768</v>
      </c>
      <c r="L318">
        <v>1348</v>
      </c>
      <c r="N318">
        <v>1009</v>
      </c>
      <c r="O318" t="s">
        <v>75</v>
      </c>
      <c r="P318" t="s">
        <v>75</v>
      </c>
      <c r="Q318">
        <v>1000</v>
      </c>
      <c r="X318">
        <v>2.8000000000000001E-2</v>
      </c>
      <c r="Y318">
        <v>9246.9599999999991</v>
      </c>
      <c r="Z318">
        <v>0</v>
      </c>
      <c r="AA318">
        <v>0</v>
      </c>
      <c r="AB318">
        <v>0</v>
      </c>
      <c r="AC318">
        <v>0</v>
      </c>
      <c r="AD318">
        <v>1</v>
      </c>
      <c r="AE318">
        <v>0</v>
      </c>
      <c r="AF318" t="s">
        <v>3</v>
      </c>
      <c r="AG318">
        <v>2.8000000000000001E-2</v>
      </c>
      <c r="AH318">
        <v>2</v>
      </c>
      <c r="AI318">
        <v>53860806</v>
      </c>
      <c r="AJ318">
        <v>206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</row>
    <row r="319" spans="1:44" x14ac:dyDescent="0.2">
      <c r="A319">
        <f>ROW(Source!A207)</f>
        <v>207</v>
      </c>
      <c r="B319">
        <v>53861340</v>
      </c>
      <c r="C319">
        <v>53860814</v>
      </c>
      <c r="D319">
        <v>29506954</v>
      </c>
      <c r="E319">
        <v>29506949</v>
      </c>
      <c r="F319">
        <v>1</v>
      </c>
      <c r="G319">
        <v>29506949</v>
      </c>
      <c r="H319">
        <v>1</v>
      </c>
      <c r="I319" t="s">
        <v>638</v>
      </c>
      <c r="J319" t="s">
        <v>3</v>
      </c>
      <c r="K319" t="s">
        <v>639</v>
      </c>
      <c r="L319">
        <v>1191</v>
      </c>
      <c r="N319">
        <v>1013</v>
      </c>
      <c r="O319" t="s">
        <v>640</v>
      </c>
      <c r="P319" t="s">
        <v>640</v>
      </c>
      <c r="Q319">
        <v>1</v>
      </c>
      <c r="X319">
        <v>84.08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1</v>
      </c>
      <c r="AE319">
        <v>1</v>
      </c>
      <c r="AF319" t="s">
        <v>52</v>
      </c>
      <c r="AG319">
        <v>96.691999999999993</v>
      </c>
      <c r="AH319">
        <v>2</v>
      </c>
      <c r="AI319">
        <v>53860815</v>
      </c>
      <c r="AJ319">
        <v>208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</row>
    <row r="320" spans="1:44" x14ac:dyDescent="0.2">
      <c r="A320">
        <f>ROW(Source!A207)</f>
        <v>207</v>
      </c>
      <c r="B320">
        <v>53861341</v>
      </c>
      <c r="C320">
        <v>53860814</v>
      </c>
      <c r="D320">
        <v>29580491</v>
      </c>
      <c r="E320">
        <v>1</v>
      </c>
      <c r="F320">
        <v>1</v>
      </c>
      <c r="G320">
        <v>29506949</v>
      </c>
      <c r="H320">
        <v>2</v>
      </c>
      <c r="I320" t="s">
        <v>650</v>
      </c>
      <c r="J320" t="s">
        <v>651</v>
      </c>
      <c r="K320" t="s">
        <v>652</v>
      </c>
      <c r="L320">
        <v>1368</v>
      </c>
      <c r="N320">
        <v>1011</v>
      </c>
      <c r="O320" t="s">
        <v>647</v>
      </c>
      <c r="P320" t="s">
        <v>647</v>
      </c>
      <c r="Q320">
        <v>1</v>
      </c>
      <c r="X320">
        <v>0.53</v>
      </c>
      <c r="Y320">
        <v>0</v>
      </c>
      <c r="Z320">
        <v>83.1</v>
      </c>
      <c r="AA320">
        <v>12.62</v>
      </c>
      <c r="AB320">
        <v>0</v>
      </c>
      <c r="AC320">
        <v>0</v>
      </c>
      <c r="AD320">
        <v>1</v>
      </c>
      <c r="AE320">
        <v>0</v>
      </c>
      <c r="AF320" t="s">
        <v>51</v>
      </c>
      <c r="AG320">
        <v>0.66250000000000009</v>
      </c>
      <c r="AH320">
        <v>3</v>
      </c>
      <c r="AI320">
        <v>-1</v>
      </c>
      <c r="AJ320" t="s">
        <v>3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</row>
    <row r="321" spans="1:44" x14ac:dyDescent="0.2">
      <c r="A321">
        <f>ROW(Source!A207)</f>
        <v>207</v>
      </c>
      <c r="B321">
        <v>53861342</v>
      </c>
      <c r="C321">
        <v>53860814</v>
      </c>
      <c r="D321">
        <v>29580613</v>
      </c>
      <c r="E321">
        <v>1</v>
      </c>
      <c r="F321">
        <v>1</v>
      </c>
      <c r="G321">
        <v>29506949</v>
      </c>
      <c r="H321">
        <v>2</v>
      </c>
      <c r="I321" t="s">
        <v>769</v>
      </c>
      <c r="J321" t="s">
        <v>770</v>
      </c>
      <c r="K321" t="s">
        <v>771</v>
      </c>
      <c r="L321">
        <v>1368</v>
      </c>
      <c r="N321">
        <v>1011</v>
      </c>
      <c r="O321" t="s">
        <v>647</v>
      </c>
      <c r="P321" t="s">
        <v>647</v>
      </c>
      <c r="Q321">
        <v>1</v>
      </c>
      <c r="X321">
        <v>27.09</v>
      </c>
      <c r="Y321">
        <v>0</v>
      </c>
      <c r="Z321">
        <v>0.8</v>
      </c>
      <c r="AA321">
        <v>0</v>
      </c>
      <c r="AB321">
        <v>0</v>
      </c>
      <c r="AC321">
        <v>0</v>
      </c>
      <c r="AD321">
        <v>1</v>
      </c>
      <c r="AE321">
        <v>0</v>
      </c>
      <c r="AF321" t="s">
        <v>51</v>
      </c>
      <c r="AG321">
        <v>33.862499999999997</v>
      </c>
      <c r="AH321">
        <v>2</v>
      </c>
      <c r="AI321">
        <v>53860816</v>
      </c>
      <c r="AJ321">
        <v>209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</row>
    <row r="322" spans="1:44" x14ac:dyDescent="0.2">
      <c r="A322">
        <f>ROW(Source!A207)</f>
        <v>207</v>
      </c>
      <c r="B322">
        <v>53861343</v>
      </c>
      <c r="C322">
        <v>53860814</v>
      </c>
      <c r="D322">
        <v>29580553</v>
      </c>
      <c r="E322">
        <v>1</v>
      </c>
      <c r="F322">
        <v>1</v>
      </c>
      <c r="G322">
        <v>29506949</v>
      </c>
      <c r="H322">
        <v>2</v>
      </c>
      <c r="I322" t="s">
        <v>772</v>
      </c>
      <c r="J322" t="s">
        <v>773</v>
      </c>
      <c r="K322" t="s">
        <v>774</v>
      </c>
      <c r="L322">
        <v>1368</v>
      </c>
      <c r="N322">
        <v>1011</v>
      </c>
      <c r="O322" t="s">
        <v>647</v>
      </c>
      <c r="P322" t="s">
        <v>647</v>
      </c>
      <c r="Q322">
        <v>1</v>
      </c>
      <c r="X322">
        <v>0.31</v>
      </c>
      <c r="Y322">
        <v>0</v>
      </c>
      <c r="Z322">
        <v>14.54</v>
      </c>
      <c r="AA322">
        <v>12.62</v>
      </c>
      <c r="AB322">
        <v>0</v>
      </c>
      <c r="AC322">
        <v>0</v>
      </c>
      <c r="AD322">
        <v>1</v>
      </c>
      <c r="AE322">
        <v>0</v>
      </c>
      <c r="AF322" t="s">
        <v>51</v>
      </c>
      <c r="AG322">
        <v>0.38750000000000001</v>
      </c>
      <c r="AH322">
        <v>2</v>
      </c>
      <c r="AI322">
        <v>53860817</v>
      </c>
      <c r="AJ322">
        <v>210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</row>
    <row r="323" spans="1:44" x14ac:dyDescent="0.2">
      <c r="A323">
        <f>ROW(Source!A207)</f>
        <v>207</v>
      </c>
      <c r="B323">
        <v>53861344</v>
      </c>
      <c r="C323">
        <v>53860814</v>
      </c>
      <c r="D323">
        <v>29579831</v>
      </c>
      <c r="E323">
        <v>1</v>
      </c>
      <c r="F323">
        <v>1</v>
      </c>
      <c r="G323">
        <v>29506949</v>
      </c>
      <c r="H323">
        <v>2</v>
      </c>
      <c r="I323" t="s">
        <v>934</v>
      </c>
      <c r="J323" t="s">
        <v>935</v>
      </c>
      <c r="K323" t="s">
        <v>936</v>
      </c>
      <c r="L323">
        <v>1368</v>
      </c>
      <c r="N323">
        <v>1011</v>
      </c>
      <c r="O323" t="s">
        <v>647</v>
      </c>
      <c r="P323" t="s">
        <v>647</v>
      </c>
      <c r="Q323">
        <v>1</v>
      </c>
      <c r="X323">
        <v>0.1</v>
      </c>
      <c r="Y323">
        <v>0</v>
      </c>
      <c r="Z323">
        <v>114.83</v>
      </c>
      <c r="AA323">
        <v>12.62</v>
      </c>
      <c r="AB323">
        <v>0</v>
      </c>
      <c r="AC323">
        <v>0</v>
      </c>
      <c r="AD323">
        <v>1</v>
      </c>
      <c r="AE323">
        <v>0</v>
      </c>
      <c r="AF323" t="s">
        <v>51</v>
      </c>
      <c r="AG323">
        <v>0.125</v>
      </c>
      <c r="AH323">
        <v>3</v>
      </c>
      <c r="AI323">
        <v>-1</v>
      </c>
      <c r="AJ323" t="s">
        <v>3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</row>
    <row r="324" spans="1:44" x14ac:dyDescent="0.2">
      <c r="A324">
        <f>ROW(Source!A207)</f>
        <v>207</v>
      </c>
      <c r="B324">
        <v>53861345</v>
      </c>
      <c r="C324">
        <v>53860814</v>
      </c>
      <c r="D324">
        <v>29555598</v>
      </c>
      <c r="E324">
        <v>1</v>
      </c>
      <c r="F324">
        <v>1</v>
      </c>
      <c r="G324">
        <v>29506949</v>
      </c>
      <c r="H324">
        <v>3</v>
      </c>
      <c r="I324" t="s">
        <v>68</v>
      </c>
      <c r="J324" t="s">
        <v>71</v>
      </c>
      <c r="K324" t="s">
        <v>69</v>
      </c>
      <c r="L324">
        <v>1339</v>
      </c>
      <c r="N324">
        <v>1007</v>
      </c>
      <c r="O324" t="s">
        <v>70</v>
      </c>
      <c r="P324" t="s">
        <v>70</v>
      </c>
      <c r="Q324">
        <v>1</v>
      </c>
      <c r="X324">
        <v>0.13300000000000001</v>
      </c>
      <c r="Y324">
        <v>7.07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</v>
      </c>
      <c r="AF324" t="s">
        <v>3</v>
      </c>
      <c r="AG324">
        <v>0.13300000000000001</v>
      </c>
      <c r="AH324">
        <v>2</v>
      </c>
      <c r="AI324">
        <v>53860819</v>
      </c>
      <c r="AJ324">
        <v>212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</row>
    <row r="325" spans="1:44" x14ac:dyDescent="0.2">
      <c r="A325">
        <f>ROW(Source!A207)</f>
        <v>207</v>
      </c>
      <c r="B325">
        <v>53861346</v>
      </c>
      <c r="C325">
        <v>53860814</v>
      </c>
      <c r="D325">
        <v>29557711</v>
      </c>
      <c r="E325">
        <v>1</v>
      </c>
      <c r="F325">
        <v>1</v>
      </c>
      <c r="G325">
        <v>29506949</v>
      </c>
      <c r="H325">
        <v>3</v>
      </c>
      <c r="I325" t="s">
        <v>775</v>
      </c>
      <c r="J325" t="s">
        <v>776</v>
      </c>
      <c r="K325" t="s">
        <v>777</v>
      </c>
      <c r="L325">
        <v>1348</v>
      </c>
      <c r="N325">
        <v>1009</v>
      </c>
      <c r="O325" t="s">
        <v>75</v>
      </c>
      <c r="P325" t="s">
        <v>75</v>
      </c>
      <c r="Q325">
        <v>1000</v>
      </c>
      <c r="X325">
        <v>0.01</v>
      </c>
      <c r="Y325">
        <v>69883.649999999994</v>
      </c>
      <c r="Z325">
        <v>0</v>
      </c>
      <c r="AA325">
        <v>0</v>
      </c>
      <c r="AB325">
        <v>0</v>
      </c>
      <c r="AC325">
        <v>0</v>
      </c>
      <c r="AD325">
        <v>1</v>
      </c>
      <c r="AE325">
        <v>0</v>
      </c>
      <c r="AF325" t="s">
        <v>3</v>
      </c>
      <c r="AG325">
        <v>0.01</v>
      </c>
      <c r="AH325">
        <v>2</v>
      </c>
      <c r="AI325">
        <v>53860820</v>
      </c>
      <c r="AJ325">
        <v>213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</row>
    <row r="326" spans="1:44" x14ac:dyDescent="0.2">
      <c r="A326">
        <f>ROW(Source!A207)</f>
        <v>207</v>
      </c>
      <c r="B326">
        <v>53861347</v>
      </c>
      <c r="C326">
        <v>53860814</v>
      </c>
      <c r="D326">
        <v>29520148</v>
      </c>
      <c r="E326">
        <v>29506949</v>
      </c>
      <c r="F326">
        <v>1</v>
      </c>
      <c r="G326">
        <v>29506949</v>
      </c>
      <c r="H326">
        <v>3</v>
      </c>
      <c r="I326" t="s">
        <v>894</v>
      </c>
      <c r="J326" t="s">
        <v>3</v>
      </c>
      <c r="K326" t="s">
        <v>937</v>
      </c>
      <c r="L326">
        <v>1348</v>
      </c>
      <c r="N326">
        <v>1009</v>
      </c>
      <c r="O326" t="s">
        <v>75</v>
      </c>
      <c r="P326" t="s">
        <v>75</v>
      </c>
      <c r="Q326">
        <v>1000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 t="s">
        <v>3</v>
      </c>
      <c r="AG326">
        <v>0</v>
      </c>
      <c r="AH326">
        <v>3</v>
      </c>
      <c r="AI326">
        <v>-1</v>
      </c>
      <c r="AJ326" t="s">
        <v>3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</row>
    <row r="327" spans="1:44" x14ac:dyDescent="0.2">
      <c r="A327">
        <f>ROW(Source!A207)</f>
        <v>207</v>
      </c>
      <c r="B327">
        <v>53861348</v>
      </c>
      <c r="C327">
        <v>53860814</v>
      </c>
      <c r="D327">
        <v>29521960</v>
      </c>
      <c r="E327">
        <v>29506949</v>
      </c>
      <c r="F327">
        <v>1</v>
      </c>
      <c r="G327">
        <v>29506949</v>
      </c>
      <c r="H327">
        <v>3</v>
      </c>
      <c r="I327" t="s">
        <v>896</v>
      </c>
      <c r="J327" t="s">
        <v>3</v>
      </c>
      <c r="K327" t="s">
        <v>938</v>
      </c>
      <c r="L327">
        <v>1348</v>
      </c>
      <c r="N327">
        <v>1009</v>
      </c>
      <c r="O327" t="s">
        <v>75</v>
      </c>
      <c r="P327" t="s">
        <v>75</v>
      </c>
      <c r="Q327">
        <v>1000</v>
      </c>
      <c r="X327">
        <v>0.47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 t="s">
        <v>3</v>
      </c>
      <c r="AG327">
        <v>0.47</v>
      </c>
      <c r="AH327">
        <v>3</v>
      </c>
      <c r="AI327">
        <v>-1</v>
      </c>
      <c r="AJ327" t="s">
        <v>3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</row>
    <row r="328" spans="1:44" x14ac:dyDescent="0.2">
      <c r="A328">
        <f>ROW(Source!A207)</f>
        <v>207</v>
      </c>
      <c r="B328">
        <v>53861349</v>
      </c>
      <c r="C328">
        <v>53860814</v>
      </c>
      <c r="D328">
        <v>29520138</v>
      </c>
      <c r="E328">
        <v>29506949</v>
      </c>
      <c r="F328">
        <v>1</v>
      </c>
      <c r="G328">
        <v>29506949</v>
      </c>
      <c r="H328">
        <v>3</v>
      </c>
      <c r="I328" t="s">
        <v>939</v>
      </c>
      <c r="J328" t="s">
        <v>3</v>
      </c>
      <c r="K328" t="s">
        <v>940</v>
      </c>
      <c r="L328">
        <v>1327</v>
      </c>
      <c r="N328">
        <v>1005</v>
      </c>
      <c r="O328" t="s">
        <v>100</v>
      </c>
      <c r="P328" t="s">
        <v>100</v>
      </c>
      <c r="Q328">
        <v>1</v>
      </c>
      <c r="X328">
        <v>102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 t="s">
        <v>3</v>
      </c>
      <c r="AG328">
        <v>102</v>
      </c>
      <c r="AH328">
        <v>3</v>
      </c>
      <c r="AI328">
        <v>-1</v>
      </c>
      <c r="AJ328" t="s">
        <v>3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</row>
    <row r="329" spans="1:44" x14ac:dyDescent="0.2">
      <c r="A329">
        <f>ROW(Source!A211)</f>
        <v>211</v>
      </c>
      <c r="B329">
        <v>53861435</v>
      </c>
      <c r="C329">
        <v>53861421</v>
      </c>
      <c r="D329">
        <v>29506954</v>
      </c>
      <c r="E329">
        <v>29506949</v>
      </c>
      <c r="F329">
        <v>1</v>
      </c>
      <c r="G329">
        <v>29506949</v>
      </c>
      <c r="H329">
        <v>1</v>
      </c>
      <c r="I329" t="s">
        <v>638</v>
      </c>
      <c r="J329" t="s">
        <v>3</v>
      </c>
      <c r="K329" t="s">
        <v>639</v>
      </c>
      <c r="L329">
        <v>1191</v>
      </c>
      <c r="N329">
        <v>1013</v>
      </c>
      <c r="O329" t="s">
        <v>640</v>
      </c>
      <c r="P329" t="s">
        <v>640</v>
      </c>
      <c r="Q329">
        <v>1</v>
      </c>
      <c r="X329">
        <v>241.42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1</v>
      </c>
      <c r="AE329">
        <v>1</v>
      </c>
      <c r="AF329" t="s">
        <v>52</v>
      </c>
      <c r="AG329">
        <v>277.63299999999998</v>
      </c>
      <c r="AH329">
        <v>2</v>
      </c>
      <c r="AI329">
        <v>53861435</v>
      </c>
      <c r="AJ329">
        <v>217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</row>
    <row r="330" spans="1:44" x14ac:dyDescent="0.2">
      <c r="A330">
        <f>ROW(Source!A211)</f>
        <v>211</v>
      </c>
      <c r="B330">
        <v>53861436</v>
      </c>
      <c r="C330">
        <v>53861421</v>
      </c>
      <c r="D330">
        <v>29580239</v>
      </c>
      <c r="E330">
        <v>1</v>
      </c>
      <c r="F330">
        <v>1</v>
      </c>
      <c r="G330">
        <v>29506949</v>
      </c>
      <c r="H330">
        <v>2</v>
      </c>
      <c r="I330" t="s">
        <v>778</v>
      </c>
      <c r="J330" t="s">
        <v>779</v>
      </c>
      <c r="K330" t="s">
        <v>780</v>
      </c>
      <c r="L330">
        <v>1368</v>
      </c>
      <c r="N330">
        <v>1011</v>
      </c>
      <c r="O330" t="s">
        <v>647</v>
      </c>
      <c r="P330" t="s">
        <v>647</v>
      </c>
      <c r="Q330">
        <v>1</v>
      </c>
      <c r="X330">
        <v>19.3</v>
      </c>
      <c r="Y330">
        <v>0</v>
      </c>
      <c r="Z330">
        <v>4.6900000000000004</v>
      </c>
      <c r="AA330">
        <v>0</v>
      </c>
      <c r="AB330">
        <v>0</v>
      </c>
      <c r="AC330">
        <v>0</v>
      </c>
      <c r="AD330">
        <v>1</v>
      </c>
      <c r="AE330">
        <v>0</v>
      </c>
      <c r="AF330" t="s">
        <v>51</v>
      </c>
      <c r="AG330">
        <v>24.125</v>
      </c>
      <c r="AH330">
        <v>2</v>
      </c>
      <c r="AI330">
        <v>53861436</v>
      </c>
      <c r="AJ330">
        <v>218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</row>
    <row r="331" spans="1:44" x14ac:dyDescent="0.2">
      <c r="A331">
        <f>ROW(Source!A211)</f>
        <v>211</v>
      </c>
      <c r="B331">
        <v>53861437</v>
      </c>
      <c r="C331">
        <v>53861421</v>
      </c>
      <c r="D331">
        <v>29580491</v>
      </c>
      <c r="E331">
        <v>1</v>
      </c>
      <c r="F331">
        <v>1</v>
      </c>
      <c r="G331">
        <v>29506949</v>
      </c>
      <c r="H331">
        <v>2</v>
      </c>
      <c r="I331" t="s">
        <v>650</v>
      </c>
      <c r="J331" t="s">
        <v>651</v>
      </c>
      <c r="K331" t="s">
        <v>652</v>
      </c>
      <c r="L331">
        <v>1368</v>
      </c>
      <c r="N331">
        <v>1011</v>
      </c>
      <c r="O331" t="s">
        <v>647</v>
      </c>
      <c r="P331" t="s">
        <v>647</v>
      </c>
      <c r="Q331">
        <v>1</v>
      </c>
      <c r="X331">
        <v>0.67</v>
      </c>
      <c r="Y331">
        <v>0</v>
      </c>
      <c r="Z331">
        <v>83.1</v>
      </c>
      <c r="AA331">
        <v>12.62</v>
      </c>
      <c r="AB331">
        <v>0</v>
      </c>
      <c r="AC331">
        <v>0</v>
      </c>
      <c r="AD331">
        <v>1</v>
      </c>
      <c r="AE331">
        <v>0</v>
      </c>
      <c r="AF331" t="s">
        <v>51</v>
      </c>
      <c r="AG331">
        <v>0.83750000000000002</v>
      </c>
      <c r="AH331">
        <v>2</v>
      </c>
      <c r="AI331">
        <v>53861437</v>
      </c>
      <c r="AJ331">
        <v>219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</row>
    <row r="332" spans="1:44" x14ac:dyDescent="0.2">
      <c r="A332">
        <f>ROW(Source!A211)</f>
        <v>211</v>
      </c>
      <c r="B332">
        <v>53861438</v>
      </c>
      <c r="C332">
        <v>53861421</v>
      </c>
      <c r="D332">
        <v>29580553</v>
      </c>
      <c r="E332">
        <v>1</v>
      </c>
      <c r="F332">
        <v>1</v>
      </c>
      <c r="G332">
        <v>29506949</v>
      </c>
      <c r="H332">
        <v>2</v>
      </c>
      <c r="I332" t="s">
        <v>772</v>
      </c>
      <c r="J332" t="s">
        <v>773</v>
      </c>
      <c r="K332" t="s">
        <v>774</v>
      </c>
      <c r="L332">
        <v>1368</v>
      </c>
      <c r="N332">
        <v>1011</v>
      </c>
      <c r="O332" t="s">
        <v>647</v>
      </c>
      <c r="P332" t="s">
        <v>647</v>
      </c>
      <c r="Q332">
        <v>1</v>
      </c>
      <c r="X332">
        <v>3.01</v>
      </c>
      <c r="Y332">
        <v>0</v>
      </c>
      <c r="Z332">
        <v>14.54</v>
      </c>
      <c r="AA332">
        <v>12.62</v>
      </c>
      <c r="AB332">
        <v>0</v>
      </c>
      <c r="AC332">
        <v>0</v>
      </c>
      <c r="AD332">
        <v>1</v>
      </c>
      <c r="AE332">
        <v>0</v>
      </c>
      <c r="AF332" t="s">
        <v>51</v>
      </c>
      <c r="AG332">
        <v>3.7624999999999997</v>
      </c>
      <c r="AH332">
        <v>2</v>
      </c>
      <c r="AI332">
        <v>53861438</v>
      </c>
      <c r="AJ332">
        <v>220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</row>
    <row r="333" spans="1:44" x14ac:dyDescent="0.2">
      <c r="A333">
        <f>ROW(Source!A211)</f>
        <v>211</v>
      </c>
      <c r="B333">
        <v>53861439</v>
      </c>
      <c r="C333">
        <v>53861421</v>
      </c>
      <c r="D333">
        <v>29580030</v>
      </c>
      <c r="E333">
        <v>1</v>
      </c>
      <c r="F333">
        <v>1</v>
      </c>
      <c r="G333">
        <v>29506949</v>
      </c>
      <c r="H333">
        <v>2</v>
      </c>
      <c r="I333" t="s">
        <v>653</v>
      </c>
      <c r="J333" t="s">
        <v>654</v>
      </c>
      <c r="K333" t="s">
        <v>655</v>
      </c>
      <c r="L333">
        <v>1368</v>
      </c>
      <c r="N333">
        <v>1011</v>
      </c>
      <c r="O333" t="s">
        <v>647</v>
      </c>
      <c r="P333" t="s">
        <v>647</v>
      </c>
      <c r="Q333">
        <v>1</v>
      </c>
      <c r="X333">
        <v>31.56</v>
      </c>
      <c r="Y333">
        <v>0</v>
      </c>
      <c r="Z333">
        <v>0.17</v>
      </c>
      <c r="AA333">
        <v>0</v>
      </c>
      <c r="AB333">
        <v>0</v>
      </c>
      <c r="AC333">
        <v>0</v>
      </c>
      <c r="AD333">
        <v>1</v>
      </c>
      <c r="AE333">
        <v>0</v>
      </c>
      <c r="AF333" t="s">
        <v>51</v>
      </c>
      <c r="AG333">
        <v>39.449999999999996</v>
      </c>
      <c r="AH333">
        <v>2</v>
      </c>
      <c r="AI333">
        <v>53861439</v>
      </c>
      <c r="AJ333">
        <v>221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</row>
    <row r="334" spans="1:44" x14ac:dyDescent="0.2">
      <c r="A334">
        <f>ROW(Source!A211)</f>
        <v>211</v>
      </c>
      <c r="B334">
        <v>53861440</v>
      </c>
      <c r="C334">
        <v>53861421</v>
      </c>
      <c r="D334">
        <v>29555598</v>
      </c>
      <c r="E334">
        <v>1</v>
      </c>
      <c r="F334">
        <v>1</v>
      </c>
      <c r="G334">
        <v>29506949</v>
      </c>
      <c r="H334">
        <v>3</v>
      </c>
      <c r="I334" t="s">
        <v>68</v>
      </c>
      <c r="J334" t="s">
        <v>71</v>
      </c>
      <c r="K334" t="s">
        <v>69</v>
      </c>
      <c r="L334">
        <v>1339</v>
      </c>
      <c r="N334">
        <v>1007</v>
      </c>
      <c r="O334" t="s">
        <v>70</v>
      </c>
      <c r="P334" t="s">
        <v>70</v>
      </c>
      <c r="Q334">
        <v>1</v>
      </c>
      <c r="X334">
        <v>0.48799999999999999</v>
      </c>
      <c r="Y334">
        <v>7.07</v>
      </c>
      <c r="Z334">
        <v>0</v>
      </c>
      <c r="AA334">
        <v>0</v>
      </c>
      <c r="AB334">
        <v>0</v>
      </c>
      <c r="AC334">
        <v>0</v>
      </c>
      <c r="AD334">
        <v>1</v>
      </c>
      <c r="AE334">
        <v>0</v>
      </c>
      <c r="AF334" t="s">
        <v>3</v>
      </c>
      <c r="AG334">
        <v>0.48799999999999999</v>
      </c>
      <c r="AH334">
        <v>2</v>
      </c>
      <c r="AI334">
        <v>53861440</v>
      </c>
      <c r="AJ334">
        <v>222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</row>
    <row r="335" spans="1:44" x14ac:dyDescent="0.2">
      <c r="A335">
        <f>ROW(Source!A211)</f>
        <v>211</v>
      </c>
      <c r="B335">
        <v>53861441</v>
      </c>
      <c r="C335">
        <v>53861421</v>
      </c>
      <c r="D335">
        <v>29520148</v>
      </c>
      <c r="E335">
        <v>29506949</v>
      </c>
      <c r="F335">
        <v>1</v>
      </c>
      <c r="G335">
        <v>29506949</v>
      </c>
      <c r="H335">
        <v>3</v>
      </c>
      <c r="I335" t="s">
        <v>894</v>
      </c>
      <c r="J335" t="s">
        <v>3</v>
      </c>
      <c r="K335" t="s">
        <v>937</v>
      </c>
      <c r="L335">
        <v>1348</v>
      </c>
      <c r="N335">
        <v>1009</v>
      </c>
      <c r="O335" t="s">
        <v>75</v>
      </c>
      <c r="P335" t="s">
        <v>75</v>
      </c>
      <c r="Q335">
        <v>1000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 t="s">
        <v>3</v>
      </c>
      <c r="AG335">
        <v>0</v>
      </c>
      <c r="AH335">
        <v>3</v>
      </c>
      <c r="AI335">
        <v>-1</v>
      </c>
      <c r="AJ335" t="s">
        <v>3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</row>
    <row r="336" spans="1:44" x14ac:dyDescent="0.2">
      <c r="A336">
        <f>ROW(Source!A211)</f>
        <v>211</v>
      </c>
      <c r="B336">
        <v>53861442</v>
      </c>
      <c r="C336">
        <v>53861421</v>
      </c>
      <c r="D336">
        <v>29521960</v>
      </c>
      <c r="E336">
        <v>29506949</v>
      </c>
      <c r="F336">
        <v>1</v>
      </c>
      <c r="G336">
        <v>29506949</v>
      </c>
      <c r="H336">
        <v>3</v>
      </c>
      <c r="I336" t="s">
        <v>896</v>
      </c>
      <c r="J336" t="s">
        <v>3</v>
      </c>
      <c r="K336" t="s">
        <v>938</v>
      </c>
      <c r="L336">
        <v>1348</v>
      </c>
      <c r="N336">
        <v>1009</v>
      </c>
      <c r="O336" t="s">
        <v>75</v>
      </c>
      <c r="P336" t="s">
        <v>75</v>
      </c>
      <c r="Q336">
        <v>1000</v>
      </c>
      <c r="X336">
        <v>0.85489999999999999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 t="s">
        <v>3</v>
      </c>
      <c r="AG336">
        <v>0.85489999999999999</v>
      </c>
      <c r="AH336">
        <v>3</v>
      </c>
      <c r="AI336">
        <v>-1</v>
      </c>
      <c r="AJ336" t="s">
        <v>3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</row>
    <row r="337" spans="1:44" x14ac:dyDescent="0.2">
      <c r="A337">
        <f>ROW(Source!A211)</f>
        <v>211</v>
      </c>
      <c r="B337">
        <v>53861443</v>
      </c>
      <c r="C337">
        <v>53861421</v>
      </c>
      <c r="D337">
        <v>29520138</v>
      </c>
      <c r="E337">
        <v>29506949</v>
      </c>
      <c r="F337">
        <v>1</v>
      </c>
      <c r="G337">
        <v>29506949</v>
      </c>
      <c r="H337">
        <v>3</v>
      </c>
      <c r="I337" t="s">
        <v>939</v>
      </c>
      <c r="J337" t="s">
        <v>3</v>
      </c>
      <c r="K337" t="s">
        <v>940</v>
      </c>
      <c r="L337">
        <v>1327</v>
      </c>
      <c r="N337">
        <v>1005</v>
      </c>
      <c r="O337" t="s">
        <v>100</v>
      </c>
      <c r="P337" t="s">
        <v>100</v>
      </c>
      <c r="Q337">
        <v>1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 t="s">
        <v>3</v>
      </c>
      <c r="AG337">
        <v>0</v>
      </c>
      <c r="AH337">
        <v>3</v>
      </c>
      <c r="AI337">
        <v>-1</v>
      </c>
      <c r="AJ337" t="s">
        <v>3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</row>
    <row r="338" spans="1:44" x14ac:dyDescent="0.2">
      <c r="A338">
        <f>ROW(Source!A215)</f>
        <v>215</v>
      </c>
      <c r="B338">
        <v>53861350</v>
      </c>
      <c r="C338">
        <v>53860862</v>
      </c>
      <c r="D338">
        <v>29506954</v>
      </c>
      <c r="E338">
        <v>29506949</v>
      </c>
      <c r="F338">
        <v>1</v>
      </c>
      <c r="G338">
        <v>29506949</v>
      </c>
      <c r="H338">
        <v>1</v>
      </c>
      <c r="I338" t="s">
        <v>638</v>
      </c>
      <c r="J338" t="s">
        <v>3</v>
      </c>
      <c r="K338" t="s">
        <v>639</v>
      </c>
      <c r="L338">
        <v>1191</v>
      </c>
      <c r="N338">
        <v>1013</v>
      </c>
      <c r="O338" t="s">
        <v>640</v>
      </c>
      <c r="P338" t="s">
        <v>640</v>
      </c>
      <c r="Q338">
        <v>1</v>
      </c>
      <c r="X338">
        <v>29.18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1</v>
      </c>
      <c r="AE338">
        <v>1</v>
      </c>
      <c r="AF338" t="s">
        <v>52</v>
      </c>
      <c r="AG338">
        <v>33.556999999999995</v>
      </c>
      <c r="AH338">
        <v>2</v>
      </c>
      <c r="AI338">
        <v>53860863</v>
      </c>
      <c r="AJ338">
        <v>226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</row>
    <row r="339" spans="1:44" x14ac:dyDescent="0.2">
      <c r="A339">
        <f>ROW(Source!A215)</f>
        <v>215</v>
      </c>
      <c r="B339">
        <v>53861351</v>
      </c>
      <c r="C339">
        <v>53860862</v>
      </c>
      <c r="D339">
        <v>29580491</v>
      </c>
      <c r="E339">
        <v>1</v>
      </c>
      <c r="F339">
        <v>1</v>
      </c>
      <c r="G339">
        <v>29506949</v>
      </c>
      <c r="H339">
        <v>2</v>
      </c>
      <c r="I339" t="s">
        <v>650</v>
      </c>
      <c r="J339" t="s">
        <v>651</v>
      </c>
      <c r="K339" t="s">
        <v>652</v>
      </c>
      <c r="L339">
        <v>1368</v>
      </c>
      <c r="N339">
        <v>1011</v>
      </c>
      <c r="O339" t="s">
        <v>647</v>
      </c>
      <c r="P339" t="s">
        <v>647</v>
      </c>
      <c r="Q339">
        <v>1</v>
      </c>
      <c r="X339">
        <v>0.03</v>
      </c>
      <c r="Y339">
        <v>0</v>
      </c>
      <c r="Z339">
        <v>83.1</v>
      </c>
      <c r="AA339">
        <v>12.62</v>
      </c>
      <c r="AB339">
        <v>0</v>
      </c>
      <c r="AC339">
        <v>0</v>
      </c>
      <c r="AD339">
        <v>1</v>
      </c>
      <c r="AE339">
        <v>0</v>
      </c>
      <c r="AF339" t="s">
        <v>51</v>
      </c>
      <c r="AG339">
        <v>3.7499999999999999E-2</v>
      </c>
      <c r="AH339">
        <v>3</v>
      </c>
      <c r="AI339">
        <v>-1</v>
      </c>
      <c r="AJ339" t="s">
        <v>3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</row>
    <row r="340" spans="1:44" x14ac:dyDescent="0.2">
      <c r="A340">
        <f>ROW(Source!A215)</f>
        <v>215</v>
      </c>
      <c r="B340">
        <v>53861352</v>
      </c>
      <c r="C340">
        <v>53860862</v>
      </c>
      <c r="D340">
        <v>29580613</v>
      </c>
      <c r="E340">
        <v>1</v>
      </c>
      <c r="F340">
        <v>1</v>
      </c>
      <c r="G340">
        <v>29506949</v>
      </c>
      <c r="H340">
        <v>2</v>
      </c>
      <c r="I340" t="s">
        <v>769</v>
      </c>
      <c r="J340" t="s">
        <v>770</v>
      </c>
      <c r="K340" t="s">
        <v>771</v>
      </c>
      <c r="L340">
        <v>1368</v>
      </c>
      <c r="N340">
        <v>1011</v>
      </c>
      <c r="O340" t="s">
        <v>647</v>
      </c>
      <c r="P340" t="s">
        <v>647</v>
      </c>
      <c r="Q340">
        <v>1</v>
      </c>
      <c r="X340">
        <v>0.17</v>
      </c>
      <c r="Y340">
        <v>0</v>
      </c>
      <c r="Z340">
        <v>0.8</v>
      </c>
      <c r="AA340">
        <v>0</v>
      </c>
      <c r="AB340">
        <v>0</v>
      </c>
      <c r="AC340">
        <v>0</v>
      </c>
      <c r="AD340">
        <v>1</v>
      </c>
      <c r="AE340">
        <v>0</v>
      </c>
      <c r="AF340" t="s">
        <v>51</v>
      </c>
      <c r="AG340">
        <v>0.21250000000000002</v>
      </c>
      <c r="AH340">
        <v>2</v>
      </c>
      <c r="AI340">
        <v>53860864</v>
      </c>
      <c r="AJ340">
        <v>227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</row>
    <row r="341" spans="1:44" x14ac:dyDescent="0.2">
      <c r="A341">
        <f>ROW(Source!A215)</f>
        <v>215</v>
      </c>
      <c r="B341">
        <v>53861353</v>
      </c>
      <c r="C341">
        <v>53860862</v>
      </c>
      <c r="D341">
        <v>29555598</v>
      </c>
      <c r="E341">
        <v>1</v>
      </c>
      <c r="F341">
        <v>1</v>
      </c>
      <c r="G341">
        <v>29506949</v>
      </c>
      <c r="H341">
        <v>3</v>
      </c>
      <c r="I341" t="s">
        <v>68</v>
      </c>
      <c r="J341" t="s">
        <v>71</v>
      </c>
      <c r="K341" t="s">
        <v>69</v>
      </c>
      <c r="L341">
        <v>1339</v>
      </c>
      <c r="N341">
        <v>1007</v>
      </c>
      <c r="O341" t="s">
        <v>70</v>
      </c>
      <c r="P341" t="s">
        <v>70</v>
      </c>
      <c r="Q341">
        <v>1</v>
      </c>
      <c r="X341">
        <v>0.01</v>
      </c>
      <c r="Y341">
        <v>7.07</v>
      </c>
      <c r="Z341">
        <v>0</v>
      </c>
      <c r="AA341">
        <v>0</v>
      </c>
      <c r="AB341">
        <v>0</v>
      </c>
      <c r="AC341">
        <v>0</v>
      </c>
      <c r="AD341">
        <v>1</v>
      </c>
      <c r="AE341">
        <v>0</v>
      </c>
      <c r="AF341" t="s">
        <v>3</v>
      </c>
      <c r="AG341">
        <v>0.01</v>
      </c>
      <c r="AH341">
        <v>2</v>
      </c>
      <c r="AI341">
        <v>53860866</v>
      </c>
      <c r="AJ341">
        <v>229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</row>
    <row r="342" spans="1:44" x14ac:dyDescent="0.2">
      <c r="A342">
        <f>ROW(Source!A215)</f>
        <v>215</v>
      </c>
      <c r="B342">
        <v>53861354</v>
      </c>
      <c r="C342">
        <v>53860862</v>
      </c>
      <c r="D342">
        <v>29529959</v>
      </c>
      <c r="E342">
        <v>29506949</v>
      </c>
      <c r="F342">
        <v>1</v>
      </c>
      <c r="G342">
        <v>29506949</v>
      </c>
      <c r="H342">
        <v>3</v>
      </c>
      <c r="I342" t="s">
        <v>853</v>
      </c>
      <c r="J342" t="s">
        <v>3</v>
      </c>
      <c r="K342" t="s">
        <v>941</v>
      </c>
      <c r="L342">
        <v>1348</v>
      </c>
      <c r="N342">
        <v>1009</v>
      </c>
      <c r="O342" t="s">
        <v>75</v>
      </c>
      <c r="P342" t="s">
        <v>75</v>
      </c>
      <c r="Q342">
        <v>1000</v>
      </c>
      <c r="X342">
        <v>6.0000000000000001E-3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 t="s">
        <v>3</v>
      </c>
      <c r="AG342">
        <v>6.0000000000000001E-3</v>
      </c>
      <c r="AH342">
        <v>3</v>
      </c>
      <c r="AI342">
        <v>-1</v>
      </c>
      <c r="AJ342" t="s">
        <v>3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</row>
    <row r="343" spans="1:44" x14ac:dyDescent="0.2">
      <c r="A343">
        <f>ROW(Source!A215)</f>
        <v>215</v>
      </c>
      <c r="B343">
        <v>53861355</v>
      </c>
      <c r="C343">
        <v>53860862</v>
      </c>
      <c r="D343">
        <v>29529950</v>
      </c>
      <c r="E343">
        <v>29506949</v>
      </c>
      <c r="F343">
        <v>1</v>
      </c>
      <c r="G343">
        <v>29506949</v>
      </c>
      <c r="H343">
        <v>3</v>
      </c>
      <c r="I343" t="s">
        <v>896</v>
      </c>
      <c r="J343" t="s">
        <v>3</v>
      </c>
      <c r="K343" t="s">
        <v>942</v>
      </c>
      <c r="L343">
        <v>1348</v>
      </c>
      <c r="N343">
        <v>1009</v>
      </c>
      <c r="O343" t="s">
        <v>75</v>
      </c>
      <c r="P343" t="s">
        <v>75</v>
      </c>
      <c r="Q343">
        <v>1000</v>
      </c>
      <c r="X343">
        <v>4.2999999999999997E-2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 t="s">
        <v>3</v>
      </c>
      <c r="AG343">
        <v>4.2999999999999997E-2</v>
      </c>
      <c r="AH343">
        <v>3</v>
      </c>
      <c r="AI343">
        <v>-1</v>
      </c>
      <c r="AJ343" t="s">
        <v>3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</row>
    <row r="344" spans="1:44" x14ac:dyDescent="0.2">
      <c r="A344">
        <f>ROW(Source!A215)</f>
        <v>215</v>
      </c>
      <c r="B344">
        <v>53861356</v>
      </c>
      <c r="C344">
        <v>53860862</v>
      </c>
      <c r="D344">
        <v>29523108</v>
      </c>
      <c r="E344">
        <v>29506949</v>
      </c>
      <c r="F344">
        <v>1</v>
      </c>
      <c r="G344">
        <v>29506949</v>
      </c>
      <c r="H344">
        <v>3</v>
      </c>
      <c r="I344" t="s">
        <v>943</v>
      </c>
      <c r="J344" t="s">
        <v>3</v>
      </c>
      <c r="K344" t="s">
        <v>944</v>
      </c>
      <c r="L344">
        <v>1327</v>
      </c>
      <c r="N344">
        <v>1005</v>
      </c>
      <c r="O344" t="s">
        <v>100</v>
      </c>
      <c r="P344" t="s">
        <v>100</v>
      </c>
      <c r="Q344">
        <v>1</v>
      </c>
      <c r="X344">
        <v>10.199999999999999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 t="s">
        <v>3</v>
      </c>
      <c r="AG344">
        <v>10.199999999999999</v>
      </c>
      <c r="AH344">
        <v>3</v>
      </c>
      <c r="AI344">
        <v>-1</v>
      </c>
      <c r="AJ344" t="s">
        <v>3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</row>
    <row r="345" spans="1:44" x14ac:dyDescent="0.2">
      <c r="A345">
        <f>ROW(Source!A219)</f>
        <v>219</v>
      </c>
      <c r="B345">
        <v>53861357</v>
      </c>
      <c r="C345">
        <v>53860880</v>
      </c>
      <c r="D345">
        <v>29506954</v>
      </c>
      <c r="E345">
        <v>29506949</v>
      </c>
      <c r="F345">
        <v>1</v>
      </c>
      <c r="G345">
        <v>29506949</v>
      </c>
      <c r="H345">
        <v>1</v>
      </c>
      <c r="I345" t="s">
        <v>638</v>
      </c>
      <c r="J345" t="s">
        <v>3</v>
      </c>
      <c r="K345" t="s">
        <v>639</v>
      </c>
      <c r="L345">
        <v>1191</v>
      </c>
      <c r="N345">
        <v>1013</v>
      </c>
      <c r="O345" t="s">
        <v>640</v>
      </c>
      <c r="P345" t="s">
        <v>640</v>
      </c>
      <c r="Q345">
        <v>1</v>
      </c>
      <c r="X345">
        <v>33.020000000000003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1</v>
      </c>
      <c r="AE345">
        <v>1</v>
      </c>
      <c r="AF345" t="s">
        <v>52</v>
      </c>
      <c r="AG345">
        <v>37.972999999999999</v>
      </c>
      <c r="AH345">
        <v>2</v>
      </c>
      <c r="AI345">
        <v>53860881</v>
      </c>
      <c r="AJ345">
        <v>233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</row>
    <row r="346" spans="1:44" x14ac:dyDescent="0.2">
      <c r="A346">
        <f>ROW(Source!A219)</f>
        <v>219</v>
      </c>
      <c r="B346">
        <v>53861358</v>
      </c>
      <c r="C346">
        <v>53860880</v>
      </c>
      <c r="D346">
        <v>29580239</v>
      </c>
      <c r="E346">
        <v>1</v>
      </c>
      <c r="F346">
        <v>1</v>
      </c>
      <c r="G346">
        <v>29506949</v>
      </c>
      <c r="H346">
        <v>2</v>
      </c>
      <c r="I346" t="s">
        <v>778</v>
      </c>
      <c r="J346" t="s">
        <v>779</v>
      </c>
      <c r="K346" t="s">
        <v>780</v>
      </c>
      <c r="L346">
        <v>1368</v>
      </c>
      <c r="N346">
        <v>1011</v>
      </c>
      <c r="O346" t="s">
        <v>647</v>
      </c>
      <c r="P346" t="s">
        <v>647</v>
      </c>
      <c r="Q346">
        <v>1</v>
      </c>
      <c r="X346">
        <v>2.4</v>
      </c>
      <c r="Y346">
        <v>0</v>
      </c>
      <c r="Z346">
        <v>4.6900000000000004</v>
      </c>
      <c r="AA346">
        <v>0</v>
      </c>
      <c r="AB346">
        <v>0</v>
      </c>
      <c r="AC346">
        <v>0</v>
      </c>
      <c r="AD346">
        <v>1</v>
      </c>
      <c r="AE346">
        <v>0</v>
      </c>
      <c r="AF346" t="s">
        <v>51</v>
      </c>
      <c r="AG346">
        <v>3</v>
      </c>
      <c r="AH346">
        <v>2</v>
      </c>
      <c r="AI346">
        <v>53860882</v>
      </c>
      <c r="AJ346">
        <v>234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</row>
    <row r="347" spans="1:44" x14ac:dyDescent="0.2">
      <c r="A347">
        <f>ROW(Source!A219)</f>
        <v>219</v>
      </c>
      <c r="B347">
        <v>53861359</v>
      </c>
      <c r="C347">
        <v>53860880</v>
      </c>
      <c r="D347">
        <v>29580491</v>
      </c>
      <c r="E347">
        <v>1</v>
      </c>
      <c r="F347">
        <v>1</v>
      </c>
      <c r="G347">
        <v>29506949</v>
      </c>
      <c r="H347">
        <v>2</v>
      </c>
      <c r="I347" t="s">
        <v>650</v>
      </c>
      <c r="J347" t="s">
        <v>651</v>
      </c>
      <c r="K347" t="s">
        <v>652</v>
      </c>
      <c r="L347">
        <v>1368</v>
      </c>
      <c r="N347">
        <v>1011</v>
      </c>
      <c r="O347" t="s">
        <v>647</v>
      </c>
      <c r="P347" t="s">
        <v>647</v>
      </c>
      <c r="Q347">
        <v>1</v>
      </c>
      <c r="X347">
        <v>0.47</v>
      </c>
      <c r="Y347">
        <v>0</v>
      </c>
      <c r="Z347">
        <v>83.1</v>
      </c>
      <c r="AA347">
        <v>12.62</v>
      </c>
      <c r="AB347">
        <v>0</v>
      </c>
      <c r="AC347">
        <v>0</v>
      </c>
      <c r="AD347">
        <v>1</v>
      </c>
      <c r="AE347">
        <v>0</v>
      </c>
      <c r="AF347" t="s">
        <v>51</v>
      </c>
      <c r="AG347">
        <v>0.58749999999999991</v>
      </c>
      <c r="AH347">
        <v>2</v>
      </c>
      <c r="AI347">
        <v>53860883</v>
      </c>
      <c r="AJ347">
        <v>235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</row>
    <row r="348" spans="1:44" x14ac:dyDescent="0.2">
      <c r="A348">
        <f>ROW(Source!A219)</f>
        <v>219</v>
      </c>
      <c r="B348">
        <v>53861360</v>
      </c>
      <c r="C348">
        <v>53860880</v>
      </c>
      <c r="D348">
        <v>29580614</v>
      </c>
      <c r="E348">
        <v>1</v>
      </c>
      <c r="F348">
        <v>1</v>
      </c>
      <c r="G348">
        <v>29506949</v>
      </c>
      <c r="H348">
        <v>2</v>
      </c>
      <c r="I348" t="s">
        <v>682</v>
      </c>
      <c r="J348" t="s">
        <v>683</v>
      </c>
      <c r="K348" t="s">
        <v>684</v>
      </c>
      <c r="L348">
        <v>1368</v>
      </c>
      <c r="N348">
        <v>1011</v>
      </c>
      <c r="O348" t="s">
        <v>647</v>
      </c>
      <c r="P348" t="s">
        <v>647</v>
      </c>
      <c r="Q348">
        <v>1</v>
      </c>
      <c r="X348">
        <v>3.32</v>
      </c>
      <c r="Y348">
        <v>0</v>
      </c>
      <c r="Z348">
        <v>1.1100000000000001</v>
      </c>
      <c r="AA348">
        <v>0</v>
      </c>
      <c r="AB348">
        <v>0</v>
      </c>
      <c r="AC348">
        <v>0</v>
      </c>
      <c r="AD348">
        <v>1</v>
      </c>
      <c r="AE348">
        <v>0</v>
      </c>
      <c r="AF348" t="s">
        <v>51</v>
      </c>
      <c r="AG348">
        <v>4.1499999999999995</v>
      </c>
      <c r="AH348">
        <v>2</v>
      </c>
      <c r="AI348">
        <v>53860884</v>
      </c>
      <c r="AJ348">
        <v>236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</row>
    <row r="349" spans="1:44" x14ac:dyDescent="0.2">
      <c r="A349">
        <f>ROW(Source!A219)</f>
        <v>219</v>
      </c>
      <c r="B349">
        <v>53861361</v>
      </c>
      <c r="C349">
        <v>53860880</v>
      </c>
      <c r="D349">
        <v>29579828</v>
      </c>
      <c r="E349">
        <v>1</v>
      </c>
      <c r="F349">
        <v>1</v>
      </c>
      <c r="G349">
        <v>29506949</v>
      </c>
      <c r="H349">
        <v>2</v>
      </c>
      <c r="I349" t="s">
        <v>781</v>
      </c>
      <c r="J349" t="s">
        <v>782</v>
      </c>
      <c r="K349" t="s">
        <v>783</v>
      </c>
      <c r="L349">
        <v>1368</v>
      </c>
      <c r="N349">
        <v>1011</v>
      </c>
      <c r="O349" t="s">
        <v>647</v>
      </c>
      <c r="P349" t="s">
        <v>647</v>
      </c>
      <c r="Q349">
        <v>1</v>
      </c>
      <c r="X349">
        <v>0.02</v>
      </c>
      <c r="Y349">
        <v>0</v>
      </c>
      <c r="Z349">
        <v>53.9</v>
      </c>
      <c r="AA349">
        <v>12.62</v>
      </c>
      <c r="AB349">
        <v>0</v>
      </c>
      <c r="AC349">
        <v>0</v>
      </c>
      <c r="AD349">
        <v>1</v>
      </c>
      <c r="AE349">
        <v>0</v>
      </c>
      <c r="AF349" t="s">
        <v>51</v>
      </c>
      <c r="AG349">
        <v>2.5000000000000001E-2</v>
      </c>
      <c r="AH349">
        <v>2</v>
      </c>
      <c r="AI349">
        <v>53860885</v>
      </c>
      <c r="AJ349">
        <v>237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</row>
    <row r="350" spans="1:44" x14ac:dyDescent="0.2">
      <c r="A350">
        <f>ROW(Source!A219)</f>
        <v>219</v>
      </c>
      <c r="B350">
        <v>53861362</v>
      </c>
      <c r="C350">
        <v>53860880</v>
      </c>
      <c r="D350">
        <v>29555598</v>
      </c>
      <c r="E350">
        <v>1</v>
      </c>
      <c r="F350">
        <v>1</v>
      </c>
      <c r="G350">
        <v>29506949</v>
      </c>
      <c r="H350">
        <v>3</v>
      </c>
      <c r="I350" t="s">
        <v>68</v>
      </c>
      <c r="J350" t="s">
        <v>71</v>
      </c>
      <c r="K350" t="s">
        <v>69</v>
      </c>
      <c r="L350">
        <v>1339</v>
      </c>
      <c r="N350">
        <v>1007</v>
      </c>
      <c r="O350" t="s">
        <v>70</v>
      </c>
      <c r="P350" t="s">
        <v>70</v>
      </c>
      <c r="Q350">
        <v>1</v>
      </c>
      <c r="X350">
        <v>0.30199999999999999</v>
      </c>
      <c r="Y350">
        <v>7.07</v>
      </c>
      <c r="Z350">
        <v>0</v>
      </c>
      <c r="AA350">
        <v>0</v>
      </c>
      <c r="AB350">
        <v>0</v>
      </c>
      <c r="AC350">
        <v>0</v>
      </c>
      <c r="AD350">
        <v>1</v>
      </c>
      <c r="AE350">
        <v>0</v>
      </c>
      <c r="AF350" t="s">
        <v>3</v>
      </c>
      <c r="AG350">
        <v>0.30199999999999999</v>
      </c>
      <c r="AH350">
        <v>2</v>
      </c>
      <c r="AI350">
        <v>53860887</v>
      </c>
      <c r="AJ350">
        <v>239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</row>
    <row r="351" spans="1:44" x14ac:dyDescent="0.2">
      <c r="A351">
        <f>ROW(Source!A219)</f>
        <v>219</v>
      </c>
      <c r="B351">
        <v>53861363</v>
      </c>
      <c r="C351">
        <v>53860880</v>
      </c>
      <c r="D351">
        <v>29557722</v>
      </c>
      <c r="E351">
        <v>1</v>
      </c>
      <c r="F351">
        <v>1</v>
      </c>
      <c r="G351">
        <v>29506949</v>
      </c>
      <c r="H351">
        <v>3</v>
      </c>
      <c r="I351" t="s">
        <v>784</v>
      </c>
      <c r="J351" t="s">
        <v>785</v>
      </c>
      <c r="K351" t="s">
        <v>786</v>
      </c>
      <c r="L351">
        <v>1327</v>
      </c>
      <c r="N351">
        <v>1005</v>
      </c>
      <c r="O351" t="s">
        <v>100</v>
      </c>
      <c r="P351" t="s">
        <v>100</v>
      </c>
      <c r="Q351">
        <v>1</v>
      </c>
      <c r="X351">
        <v>10</v>
      </c>
      <c r="Y351">
        <v>2.31</v>
      </c>
      <c r="Z351">
        <v>0</v>
      </c>
      <c r="AA351">
        <v>0</v>
      </c>
      <c r="AB351">
        <v>0</v>
      </c>
      <c r="AC351">
        <v>0</v>
      </c>
      <c r="AD351">
        <v>1</v>
      </c>
      <c r="AE351">
        <v>0</v>
      </c>
      <c r="AF351" t="s">
        <v>3</v>
      </c>
      <c r="AG351">
        <v>10</v>
      </c>
      <c r="AH351">
        <v>2</v>
      </c>
      <c r="AI351">
        <v>53860888</v>
      </c>
      <c r="AJ351">
        <v>240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</row>
    <row r="352" spans="1:44" x14ac:dyDescent="0.2">
      <c r="A352">
        <f>ROW(Source!A219)</f>
        <v>219</v>
      </c>
      <c r="B352">
        <v>53861364</v>
      </c>
      <c r="C352">
        <v>53860880</v>
      </c>
      <c r="D352">
        <v>29522033</v>
      </c>
      <c r="E352">
        <v>29506949</v>
      </c>
      <c r="F352">
        <v>1</v>
      </c>
      <c r="G352">
        <v>29506949</v>
      </c>
      <c r="H352">
        <v>3</v>
      </c>
      <c r="I352" t="s">
        <v>945</v>
      </c>
      <c r="J352" t="s">
        <v>3</v>
      </c>
      <c r="K352" t="s">
        <v>946</v>
      </c>
      <c r="L352">
        <v>1346</v>
      </c>
      <c r="N352">
        <v>1009</v>
      </c>
      <c r="O352" t="s">
        <v>58</v>
      </c>
      <c r="P352" t="s">
        <v>58</v>
      </c>
      <c r="Q352">
        <v>1</v>
      </c>
      <c r="X352">
        <v>20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 t="s">
        <v>3</v>
      </c>
      <c r="AG352">
        <v>20</v>
      </c>
      <c r="AH352">
        <v>3</v>
      </c>
      <c r="AI352">
        <v>-1</v>
      </c>
      <c r="AJ352" t="s">
        <v>3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</row>
    <row r="353" spans="1:44" x14ac:dyDescent="0.2">
      <c r="A353">
        <f>ROW(Source!A219)</f>
        <v>219</v>
      </c>
      <c r="B353">
        <v>53861365</v>
      </c>
      <c r="C353">
        <v>53860880</v>
      </c>
      <c r="D353">
        <v>31658537</v>
      </c>
      <c r="E353">
        <v>29506949</v>
      </c>
      <c r="F353">
        <v>1</v>
      </c>
      <c r="G353">
        <v>29506949</v>
      </c>
      <c r="H353">
        <v>3</v>
      </c>
      <c r="I353" t="s">
        <v>947</v>
      </c>
      <c r="J353" t="s">
        <v>3</v>
      </c>
      <c r="K353" t="s">
        <v>948</v>
      </c>
      <c r="L353">
        <v>1348</v>
      </c>
      <c r="N353">
        <v>1009</v>
      </c>
      <c r="O353" t="s">
        <v>75</v>
      </c>
      <c r="P353" t="s">
        <v>75</v>
      </c>
      <c r="Q353">
        <v>1000</v>
      </c>
      <c r="X353">
        <v>0.84199999999999997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 t="s">
        <v>3</v>
      </c>
      <c r="AG353">
        <v>0.84199999999999997</v>
      </c>
      <c r="AH353">
        <v>3</v>
      </c>
      <c r="AI353">
        <v>-1</v>
      </c>
      <c r="AJ353" t="s">
        <v>3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</row>
    <row r="354" spans="1:44" x14ac:dyDescent="0.2">
      <c r="A354">
        <f>ROW(Source!A222)</f>
        <v>222</v>
      </c>
      <c r="B354">
        <v>53861366</v>
      </c>
      <c r="C354">
        <v>53860903</v>
      </c>
      <c r="D354">
        <v>29506954</v>
      </c>
      <c r="E354">
        <v>29506949</v>
      </c>
      <c r="F354">
        <v>1</v>
      </c>
      <c r="G354">
        <v>29506949</v>
      </c>
      <c r="H354">
        <v>1</v>
      </c>
      <c r="I354" t="s">
        <v>638</v>
      </c>
      <c r="J354" t="s">
        <v>3</v>
      </c>
      <c r="K354" t="s">
        <v>639</v>
      </c>
      <c r="L354">
        <v>1191</v>
      </c>
      <c r="N354">
        <v>1013</v>
      </c>
      <c r="O354" t="s">
        <v>640</v>
      </c>
      <c r="P354" t="s">
        <v>640</v>
      </c>
      <c r="Q354">
        <v>1</v>
      </c>
      <c r="X354">
        <v>52.21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1</v>
      </c>
      <c r="AE354">
        <v>1</v>
      </c>
      <c r="AF354" t="s">
        <v>52</v>
      </c>
      <c r="AG354">
        <v>60.041499999999999</v>
      </c>
      <c r="AH354">
        <v>2</v>
      </c>
      <c r="AI354">
        <v>53860904</v>
      </c>
      <c r="AJ354">
        <v>243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</row>
    <row r="355" spans="1:44" x14ac:dyDescent="0.2">
      <c r="A355">
        <f>ROW(Source!A222)</f>
        <v>222</v>
      </c>
      <c r="B355">
        <v>53861367</v>
      </c>
      <c r="C355">
        <v>53860903</v>
      </c>
      <c r="D355">
        <v>29580239</v>
      </c>
      <c r="E355">
        <v>1</v>
      </c>
      <c r="F355">
        <v>1</v>
      </c>
      <c r="G355">
        <v>29506949</v>
      </c>
      <c r="H355">
        <v>2</v>
      </c>
      <c r="I355" t="s">
        <v>778</v>
      </c>
      <c r="J355" t="s">
        <v>779</v>
      </c>
      <c r="K355" t="s">
        <v>780</v>
      </c>
      <c r="L355">
        <v>1368</v>
      </c>
      <c r="N355">
        <v>1011</v>
      </c>
      <c r="O355" t="s">
        <v>647</v>
      </c>
      <c r="P355" t="s">
        <v>647</v>
      </c>
      <c r="Q355">
        <v>1</v>
      </c>
      <c r="X355">
        <v>5.31</v>
      </c>
      <c r="Y355">
        <v>0</v>
      </c>
      <c r="Z355">
        <v>4.6900000000000004</v>
      </c>
      <c r="AA355">
        <v>0</v>
      </c>
      <c r="AB355">
        <v>0</v>
      </c>
      <c r="AC355">
        <v>0</v>
      </c>
      <c r="AD355">
        <v>1</v>
      </c>
      <c r="AE355">
        <v>0</v>
      </c>
      <c r="AF355" t="s">
        <v>51</v>
      </c>
      <c r="AG355">
        <v>6.6374999999999993</v>
      </c>
      <c r="AH355">
        <v>2</v>
      </c>
      <c r="AI355">
        <v>53860905</v>
      </c>
      <c r="AJ355">
        <v>244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</row>
    <row r="356" spans="1:44" x14ac:dyDescent="0.2">
      <c r="A356">
        <f>ROW(Source!A222)</f>
        <v>222</v>
      </c>
      <c r="B356">
        <v>53861368</v>
      </c>
      <c r="C356">
        <v>53860903</v>
      </c>
      <c r="D356">
        <v>29580444</v>
      </c>
      <c r="E356">
        <v>1</v>
      </c>
      <c r="F356">
        <v>1</v>
      </c>
      <c r="G356">
        <v>29506949</v>
      </c>
      <c r="H356">
        <v>2</v>
      </c>
      <c r="I356" t="s">
        <v>787</v>
      </c>
      <c r="J356" t="s">
        <v>788</v>
      </c>
      <c r="K356" t="s">
        <v>789</v>
      </c>
      <c r="L356">
        <v>1368</v>
      </c>
      <c r="N356">
        <v>1011</v>
      </c>
      <c r="O356" t="s">
        <v>647</v>
      </c>
      <c r="P356" t="s">
        <v>647</v>
      </c>
      <c r="Q356">
        <v>1</v>
      </c>
      <c r="X356">
        <v>3.76</v>
      </c>
      <c r="Y356">
        <v>0</v>
      </c>
      <c r="Z356">
        <v>0.66</v>
      </c>
      <c r="AA356">
        <v>0</v>
      </c>
      <c r="AB356">
        <v>0</v>
      </c>
      <c r="AC356">
        <v>0</v>
      </c>
      <c r="AD356">
        <v>1</v>
      </c>
      <c r="AE356">
        <v>0</v>
      </c>
      <c r="AF356" t="s">
        <v>51</v>
      </c>
      <c r="AG356">
        <v>4.6999999999999993</v>
      </c>
      <c r="AH356">
        <v>2</v>
      </c>
      <c r="AI356">
        <v>53860906</v>
      </c>
      <c r="AJ356">
        <v>245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</row>
    <row r="357" spans="1:44" x14ac:dyDescent="0.2">
      <c r="A357">
        <f>ROW(Source!A222)</f>
        <v>222</v>
      </c>
      <c r="B357">
        <v>53861369</v>
      </c>
      <c r="C357">
        <v>53860903</v>
      </c>
      <c r="D357">
        <v>29580491</v>
      </c>
      <c r="E357">
        <v>1</v>
      </c>
      <c r="F357">
        <v>1</v>
      </c>
      <c r="G357">
        <v>29506949</v>
      </c>
      <c r="H357">
        <v>2</v>
      </c>
      <c r="I357" t="s">
        <v>650</v>
      </c>
      <c r="J357" t="s">
        <v>651</v>
      </c>
      <c r="K357" t="s">
        <v>652</v>
      </c>
      <c r="L357">
        <v>1368</v>
      </c>
      <c r="N357">
        <v>1011</v>
      </c>
      <c r="O357" t="s">
        <v>647</v>
      </c>
      <c r="P357" t="s">
        <v>647</v>
      </c>
      <c r="Q357">
        <v>1</v>
      </c>
      <c r="X357">
        <v>0.56000000000000005</v>
      </c>
      <c r="Y357">
        <v>0</v>
      </c>
      <c r="Z357">
        <v>83.1</v>
      </c>
      <c r="AA357">
        <v>12.62</v>
      </c>
      <c r="AB357">
        <v>0</v>
      </c>
      <c r="AC357">
        <v>0</v>
      </c>
      <c r="AD357">
        <v>1</v>
      </c>
      <c r="AE357">
        <v>0</v>
      </c>
      <c r="AF357" t="s">
        <v>51</v>
      </c>
      <c r="AG357">
        <v>0.70000000000000007</v>
      </c>
      <c r="AH357">
        <v>2</v>
      </c>
      <c r="AI357">
        <v>53860907</v>
      </c>
      <c r="AJ357">
        <v>246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</row>
    <row r="358" spans="1:44" x14ac:dyDescent="0.2">
      <c r="A358">
        <f>ROW(Source!A222)</f>
        <v>222</v>
      </c>
      <c r="B358">
        <v>53861370</v>
      </c>
      <c r="C358">
        <v>53860903</v>
      </c>
      <c r="D358">
        <v>29580541</v>
      </c>
      <c r="E358">
        <v>1</v>
      </c>
      <c r="F358">
        <v>1</v>
      </c>
      <c r="G358">
        <v>29506949</v>
      </c>
      <c r="H358">
        <v>2</v>
      </c>
      <c r="I358" t="s">
        <v>790</v>
      </c>
      <c r="J358" t="s">
        <v>791</v>
      </c>
      <c r="K358" t="s">
        <v>792</v>
      </c>
      <c r="L358">
        <v>1368</v>
      </c>
      <c r="N358">
        <v>1011</v>
      </c>
      <c r="O358" t="s">
        <v>647</v>
      </c>
      <c r="P358" t="s">
        <v>647</v>
      </c>
      <c r="Q358">
        <v>1</v>
      </c>
      <c r="X358">
        <v>1.2</v>
      </c>
      <c r="Y358">
        <v>0</v>
      </c>
      <c r="Z358">
        <v>1</v>
      </c>
      <c r="AA358">
        <v>0</v>
      </c>
      <c r="AB358">
        <v>0</v>
      </c>
      <c r="AC358">
        <v>0</v>
      </c>
      <c r="AD358">
        <v>1</v>
      </c>
      <c r="AE358">
        <v>0</v>
      </c>
      <c r="AF358" t="s">
        <v>51</v>
      </c>
      <c r="AG358">
        <v>1.5</v>
      </c>
      <c r="AH358">
        <v>2</v>
      </c>
      <c r="AI358">
        <v>53860908</v>
      </c>
      <c r="AJ358">
        <v>247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</row>
    <row r="359" spans="1:44" x14ac:dyDescent="0.2">
      <c r="A359">
        <f>ROW(Source!A222)</f>
        <v>222</v>
      </c>
      <c r="B359">
        <v>53861371</v>
      </c>
      <c r="C359">
        <v>53860903</v>
      </c>
      <c r="D359">
        <v>29507683</v>
      </c>
      <c r="E359">
        <v>29506949</v>
      </c>
      <c r="F359">
        <v>1</v>
      </c>
      <c r="G359">
        <v>29506949</v>
      </c>
      <c r="H359">
        <v>2</v>
      </c>
      <c r="I359" t="s">
        <v>641</v>
      </c>
      <c r="J359" t="s">
        <v>3</v>
      </c>
      <c r="K359" t="s">
        <v>642</v>
      </c>
      <c r="L359">
        <v>1344</v>
      </c>
      <c r="N359">
        <v>1008</v>
      </c>
      <c r="O359" t="s">
        <v>643</v>
      </c>
      <c r="P359" t="s">
        <v>643</v>
      </c>
      <c r="Q359">
        <v>1</v>
      </c>
      <c r="X359">
        <v>0.01</v>
      </c>
      <c r="Y359">
        <v>0</v>
      </c>
      <c r="Z359">
        <v>1</v>
      </c>
      <c r="AA359">
        <v>0</v>
      </c>
      <c r="AB359">
        <v>0</v>
      </c>
      <c r="AC359">
        <v>0</v>
      </c>
      <c r="AD359">
        <v>1</v>
      </c>
      <c r="AE359">
        <v>0</v>
      </c>
      <c r="AF359" t="s">
        <v>51</v>
      </c>
      <c r="AG359">
        <v>1.2500000000000001E-2</v>
      </c>
      <c r="AH359">
        <v>2</v>
      </c>
      <c r="AI359">
        <v>53860909</v>
      </c>
      <c r="AJ359">
        <v>248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</row>
    <row r="360" spans="1:44" x14ac:dyDescent="0.2">
      <c r="A360">
        <f>ROW(Source!A222)</f>
        <v>222</v>
      </c>
      <c r="B360">
        <v>53861372</v>
      </c>
      <c r="C360">
        <v>53860903</v>
      </c>
      <c r="D360">
        <v>29558353</v>
      </c>
      <c r="E360">
        <v>1</v>
      </c>
      <c r="F360">
        <v>1</v>
      </c>
      <c r="G360">
        <v>29506949</v>
      </c>
      <c r="H360">
        <v>3</v>
      </c>
      <c r="I360" t="s">
        <v>727</v>
      </c>
      <c r="J360" t="s">
        <v>728</v>
      </c>
      <c r="K360" t="s">
        <v>729</v>
      </c>
      <c r="L360">
        <v>1346</v>
      </c>
      <c r="N360">
        <v>1009</v>
      </c>
      <c r="O360" t="s">
        <v>58</v>
      </c>
      <c r="P360" t="s">
        <v>58</v>
      </c>
      <c r="Q360">
        <v>1</v>
      </c>
      <c r="X360">
        <v>10.3</v>
      </c>
      <c r="Y360">
        <v>17.309999999999999</v>
      </c>
      <c r="Z360">
        <v>0</v>
      </c>
      <c r="AA360">
        <v>0</v>
      </c>
      <c r="AB360">
        <v>0</v>
      </c>
      <c r="AC360">
        <v>0</v>
      </c>
      <c r="AD360">
        <v>1</v>
      </c>
      <c r="AE360">
        <v>0</v>
      </c>
      <c r="AF360" t="s">
        <v>3</v>
      </c>
      <c r="AG360">
        <v>10.3</v>
      </c>
      <c r="AH360">
        <v>2</v>
      </c>
      <c r="AI360">
        <v>53860910</v>
      </c>
      <c r="AJ360">
        <v>249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</row>
    <row r="361" spans="1:44" x14ac:dyDescent="0.2">
      <c r="A361">
        <f>ROW(Source!A222)</f>
        <v>222</v>
      </c>
      <c r="B361">
        <v>53861373</v>
      </c>
      <c r="C361">
        <v>53860903</v>
      </c>
      <c r="D361">
        <v>29558360</v>
      </c>
      <c r="E361">
        <v>1</v>
      </c>
      <c r="F361">
        <v>1</v>
      </c>
      <c r="G361">
        <v>29506949</v>
      </c>
      <c r="H361">
        <v>3</v>
      </c>
      <c r="I361" t="s">
        <v>793</v>
      </c>
      <c r="J361" t="s">
        <v>794</v>
      </c>
      <c r="K361" t="s">
        <v>795</v>
      </c>
      <c r="L361">
        <v>1301</v>
      </c>
      <c r="N361">
        <v>1003</v>
      </c>
      <c r="O361" t="s">
        <v>125</v>
      </c>
      <c r="P361" t="s">
        <v>125</v>
      </c>
      <c r="Q361">
        <v>1</v>
      </c>
      <c r="X361">
        <v>60</v>
      </c>
      <c r="Y361">
        <v>9.8000000000000007</v>
      </c>
      <c r="Z361">
        <v>0</v>
      </c>
      <c r="AA361">
        <v>0</v>
      </c>
      <c r="AB361">
        <v>0</v>
      </c>
      <c r="AC361">
        <v>0</v>
      </c>
      <c r="AD361">
        <v>1</v>
      </c>
      <c r="AE361">
        <v>0</v>
      </c>
      <c r="AF361" t="s">
        <v>3</v>
      </c>
      <c r="AG361">
        <v>60</v>
      </c>
      <c r="AH361">
        <v>2</v>
      </c>
      <c r="AI361">
        <v>53860911</v>
      </c>
      <c r="AJ361">
        <v>251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</row>
    <row r="362" spans="1:44" x14ac:dyDescent="0.2">
      <c r="A362">
        <f>ROW(Source!A222)</f>
        <v>222</v>
      </c>
      <c r="B362">
        <v>53861374</v>
      </c>
      <c r="C362">
        <v>53860903</v>
      </c>
      <c r="D362">
        <v>29522993</v>
      </c>
      <c r="E362">
        <v>29506949</v>
      </c>
      <c r="F362">
        <v>1</v>
      </c>
      <c r="G362">
        <v>29506949</v>
      </c>
      <c r="H362">
        <v>3</v>
      </c>
      <c r="I362" t="s">
        <v>871</v>
      </c>
      <c r="J362" t="s">
        <v>3</v>
      </c>
      <c r="K362" t="s">
        <v>949</v>
      </c>
      <c r="L362">
        <v>1346</v>
      </c>
      <c r="N362">
        <v>1009</v>
      </c>
      <c r="O362" t="s">
        <v>58</v>
      </c>
      <c r="P362" t="s">
        <v>58</v>
      </c>
      <c r="Q362">
        <v>1</v>
      </c>
      <c r="X362">
        <v>36.049999999999997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 t="s">
        <v>3</v>
      </c>
      <c r="AG362">
        <v>36.049999999999997</v>
      </c>
      <c r="AH362">
        <v>3</v>
      </c>
      <c r="AI362">
        <v>-1</v>
      </c>
      <c r="AJ362" t="s">
        <v>3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</row>
    <row r="363" spans="1:44" x14ac:dyDescent="0.2">
      <c r="A363">
        <f>ROW(Source!A222)</f>
        <v>222</v>
      </c>
      <c r="B363">
        <v>53861375</v>
      </c>
      <c r="C363">
        <v>53860903</v>
      </c>
      <c r="D363">
        <v>29521951</v>
      </c>
      <c r="E363">
        <v>29506949</v>
      </c>
      <c r="F363">
        <v>1</v>
      </c>
      <c r="G363">
        <v>29506949</v>
      </c>
      <c r="H363">
        <v>3</v>
      </c>
      <c r="I363" t="s">
        <v>950</v>
      </c>
      <c r="J363" t="s">
        <v>3</v>
      </c>
      <c r="K363" t="s">
        <v>951</v>
      </c>
      <c r="L363">
        <v>1327</v>
      </c>
      <c r="N363">
        <v>1005</v>
      </c>
      <c r="O363" t="s">
        <v>100</v>
      </c>
      <c r="P363" t="s">
        <v>100</v>
      </c>
      <c r="Q363">
        <v>1</v>
      </c>
      <c r="X363">
        <v>107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 t="s">
        <v>3</v>
      </c>
      <c r="AG363">
        <v>107</v>
      </c>
      <c r="AH363">
        <v>3</v>
      </c>
      <c r="AI363">
        <v>-1</v>
      </c>
      <c r="AJ363" t="s">
        <v>3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</row>
    <row r="364" spans="1:44" x14ac:dyDescent="0.2">
      <c r="A364">
        <f>ROW(Source!A225)</f>
        <v>225</v>
      </c>
      <c r="B364">
        <v>53861376</v>
      </c>
      <c r="C364">
        <v>53860926</v>
      </c>
      <c r="D364">
        <v>29506954</v>
      </c>
      <c r="E364">
        <v>29506949</v>
      </c>
      <c r="F364">
        <v>1</v>
      </c>
      <c r="G364">
        <v>29506949</v>
      </c>
      <c r="H364">
        <v>1</v>
      </c>
      <c r="I364" t="s">
        <v>638</v>
      </c>
      <c r="J364" t="s">
        <v>3</v>
      </c>
      <c r="K364" t="s">
        <v>639</v>
      </c>
      <c r="L364">
        <v>1191</v>
      </c>
      <c r="N364">
        <v>1013</v>
      </c>
      <c r="O364" t="s">
        <v>640</v>
      </c>
      <c r="P364" t="s">
        <v>640</v>
      </c>
      <c r="Q364">
        <v>1</v>
      </c>
      <c r="X364">
        <v>22.55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1</v>
      </c>
      <c r="AE364">
        <v>1</v>
      </c>
      <c r="AF364" t="s">
        <v>52</v>
      </c>
      <c r="AG364">
        <v>25.932499999999997</v>
      </c>
      <c r="AH364">
        <v>2</v>
      </c>
      <c r="AI364">
        <v>53860927</v>
      </c>
      <c r="AJ364">
        <v>253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</row>
    <row r="365" spans="1:44" x14ac:dyDescent="0.2">
      <c r="A365">
        <f>ROW(Source!A225)</f>
        <v>225</v>
      </c>
      <c r="B365">
        <v>53861377</v>
      </c>
      <c r="C365">
        <v>53860926</v>
      </c>
      <c r="D365">
        <v>29580491</v>
      </c>
      <c r="E365">
        <v>1</v>
      </c>
      <c r="F365">
        <v>1</v>
      </c>
      <c r="G365">
        <v>29506949</v>
      </c>
      <c r="H365">
        <v>2</v>
      </c>
      <c r="I365" t="s">
        <v>650</v>
      </c>
      <c r="J365" t="s">
        <v>651</v>
      </c>
      <c r="K365" t="s">
        <v>652</v>
      </c>
      <c r="L365">
        <v>1368</v>
      </c>
      <c r="N365">
        <v>1011</v>
      </c>
      <c r="O365" t="s">
        <v>647</v>
      </c>
      <c r="P365" t="s">
        <v>647</v>
      </c>
      <c r="Q365">
        <v>1</v>
      </c>
      <c r="X365">
        <v>0.77</v>
      </c>
      <c r="Y365">
        <v>0</v>
      </c>
      <c r="Z365">
        <v>83.1</v>
      </c>
      <c r="AA365">
        <v>12.62</v>
      </c>
      <c r="AB365">
        <v>0</v>
      </c>
      <c r="AC365">
        <v>0</v>
      </c>
      <c r="AD365">
        <v>1</v>
      </c>
      <c r="AE365">
        <v>0</v>
      </c>
      <c r="AF365" t="s">
        <v>51</v>
      </c>
      <c r="AG365">
        <v>0.96250000000000002</v>
      </c>
      <c r="AH365">
        <v>3</v>
      </c>
      <c r="AI365">
        <v>-1</v>
      </c>
      <c r="AJ365" t="s">
        <v>3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</row>
    <row r="366" spans="1:44" x14ac:dyDescent="0.2">
      <c r="A366">
        <f>ROW(Source!A225)</f>
        <v>225</v>
      </c>
      <c r="B366">
        <v>53861378</v>
      </c>
      <c r="C366">
        <v>53860926</v>
      </c>
      <c r="D366">
        <v>29580545</v>
      </c>
      <c r="E366">
        <v>1</v>
      </c>
      <c r="F366">
        <v>1</v>
      </c>
      <c r="G366">
        <v>29506949</v>
      </c>
      <c r="H366">
        <v>2</v>
      </c>
      <c r="I366" t="s">
        <v>796</v>
      </c>
      <c r="J366" t="s">
        <v>797</v>
      </c>
      <c r="K366" t="s">
        <v>798</v>
      </c>
      <c r="L366">
        <v>1368</v>
      </c>
      <c r="N366">
        <v>1011</v>
      </c>
      <c r="O366" t="s">
        <v>647</v>
      </c>
      <c r="P366" t="s">
        <v>647</v>
      </c>
      <c r="Q366">
        <v>1</v>
      </c>
      <c r="X366">
        <v>0.83</v>
      </c>
      <c r="Y366">
        <v>0</v>
      </c>
      <c r="Z366">
        <v>0.36</v>
      </c>
      <c r="AA366">
        <v>0</v>
      </c>
      <c r="AB366">
        <v>0</v>
      </c>
      <c r="AC366">
        <v>0</v>
      </c>
      <c r="AD366">
        <v>1</v>
      </c>
      <c r="AE366">
        <v>0</v>
      </c>
      <c r="AF366" t="s">
        <v>51</v>
      </c>
      <c r="AG366">
        <v>1.0374999999999999</v>
      </c>
      <c r="AH366">
        <v>2</v>
      </c>
      <c r="AI366">
        <v>53860928</v>
      </c>
      <c r="AJ366">
        <v>254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</row>
    <row r="367" spans="1:44" x14ac:dyDescent="0.2">
      <c r="A367">
        <f>ROW(Source!A225)</f>
        <v>225</v>
      </c>
      <c r="B367">
        <v>53861379</v>
      </c>
      <c r="C367">
        <v>53860926</v>
      </c>
      <c r="D367">
        <v>29555595</v>
      </c>
      <c r="E367">
        <v>1</v>
      </c>
      <c r="F367">
        <v>1</v>
      </c>
      <c r="G367">
        <v>29506949</v>
      </c>
      <c r="H367">
        <v>3</v>
      </c>
      <c r="I367" t="s">
        <v>656</v>
      </c>
      <c r="J367" t="s">
        <v>657</v>
      </c>
      <c r="K367" t="s">
        <v>658</v>
      </c>
      <c r="L367">
        <v>1346</v>
      </c>
      <c r="N367">
        <v>1009</v>
      </c>
      <c r="O367" t="s">
        <v>58</v>
      </c>
      <c r="P367" t="s">
        <v>58</v>
      </c>
      <c r="Q367">
        <v>1</v>
      </c>
      <c r="X367">
        <v>0.5</v>
      </c>
      <c r="Y367">
        <v>1.61</v>
      </c>
      <c r="Z367">
        <v>0</v>
      </c>
      <c r="AA367">
        <v>0</v>
      </c>
      <c r="AB367">
        <v>0</v>
      </c>
      <c r="AC367">
        <v>0</v>
      </c>
      <c r="AD367">
        <v>1</v>
      </c>
      <c r="AE367">
        <v>0</v>
      </c>
      <c r="AF367" t="s">
        <v>3</v>
      </c>
      <c r="AG367">
        <v>0.5</v>
      </c>
      <c r="AH367">
        <v>3</v>
      </c>
      <c r="AI367">
        <v>-1</v>
      </c>
      <c r="AJ367" t="s">
        <v>3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</row>
    <row r="368" spans="1:44" x14ac:dyDescent="0.2">
      <c r="A368">
        <f>ROW(Source!A225)</f>
        <v>225</v>
      </c>
      <c r="B368">
        <v>53861380</v>
      </c>
      <c r="C368">
        <v>53860926</v>
      </c>
      <c r="D368">
        <v>29557700</v>
      </c>
      <c r="E368">
        <v>1</v>
      </c>
      <c r="F368">
        <v>1</v>
      </c>
      <c r="G368">
        <v>29506949</v>
      </c>
      <c r="H368">
        <v>3</v>
      </c>
      <c r="I368" t="s">
        <v>799</v>
      </c>
      <c r="J368" t="s">
        <v>800</v>
      </c>
      <c r="K368" t="s">
        <v>801</v>
      </c>
      <c r="L368">
        <v>1327</v>
      </c>
      <c r="N368">
        <v>1005</v>
      </c>
      <c r="O368" t="s">
        <v>100</v>
      </c>
      <c r="P368" t="s">
        <v>100</v>
      </c>
      <c r="Q368">
        <v>1</v>
      </c>
      <c r="X368">
        <v>105</v>
      </c>
      <c r="Y368">
        <v>2.5499999999999998</v>
      </c>
      <c r="Z368">
        <v>0</v>
      </c>
      <c r="AA368">
        <v>0</v>
      </c>
      <c r="AB368">
        <v>0</v>
      </c>
      <c r="AC368">
        <v>0</v>
      </c>
      <c r="AD368">
        <v>1</v>
      </c>
      <c r="AE368">
        <v>0</v>
      </c>
      <c r="AF368" t="s">
        <v>3</v>
      </c>
      <c r="AG368">
        <v>105</v>
      </c>
      <c r="AH368">
        <v>2</v>
      </c>
      <c r="AI368">
        <v>53860930</v>
      </c>
      <c r="AJ368">
        <v>256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</row>
    <row r="369" spans="1:44" x14ac:dyDescent="0.2">
      <c r="A369">
        <f>ROW(Source!A225)</f>
        <v>225</v>
      </c>
      <c r="B369">
        <v>53861381</v>
      </c>
      <c r="C369">
        <v>53860926</v>
      </c>
      <c r="D369">
        <v>29521424</v>
      </c>
      <c r="E369">
        <v>29506949</v>
      </c>
      <c r="F369">
        <v>1</v>
      </c>
      <c r="G369">
        <v>29506949</v>
      </c>
      <c r="H369">
        <v>3</v>
      </c>
      <c r="I369" t="s">
        <v>952</v>
      </c>
      <c r="J369" t="s">
        <v>3</v>
      </c>
      <c r="K369" t="s">
        <v>953</v>
      </c>
      <c r="L369">
        <v>1327</v>
      </c>
      <c r="N369">
        <v>1005</v>
      </c>
      <c r="O369" t="s">
        <v>100</v>
      </c>
      <c r="P369" t="s">
        <v>100</v>
      </c>
      <c r="Q369">
        <v>1</v>
      </c>
      <c r="X369">
        <v>102.5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 t="s">
        <v>3</v>
      </c>
      <c r="AG369">
        <v>102.5</v>
      </c>
      <c r="AH369">
        <v>3</v>
      </c>
      <c r="AI369">
        <v>-1</v>
      </c>
      <c r="AJ369" t="s">
        <v>3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</row>
    <row r="370" spans="1:44" x14ac:dyDescent="0.2">
      <c r="A370">
        <f>ROW(Source!A227)</f>
        <v>227</v>
      </c>
      <c r="B370">
        <v>53861382</v>
      </c>
      <c r="C370">
        <v>53860938</v>
      </c>
      <c r="D370">
        <v>29506954</v>
      </c>
      <c r="E370">
        <v>29506949</v>
      </c>
      <c r="F370">
        <v>1</v>
      </c>
      <c r="G370">
        <v>29506949</v>
      </c>
      <c r="H370">
        <v>1</v>
      </c>
      <c r="I370" t="s">
        <v>638</v>
      </c>
      <c r="J370" t="s">
        <v>3</v>
      </c>
      <c r="K370" t="s">
        <v>639</v>
      </c>
      <c r="L370">
        <v>1191</v>
      </c>
      <c r="N370">
        <v>1013</v>
      </c>
      <c r="O370" t="s">
        <v>640</v>
      </c>
      <c r="P370" t="s">
        <v>640</v>
      </c>
      <c r="Q370">
        <v>1</v>
      </c>
      <c r="X370">
        <v>6.66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1</v>
      </c>
      <c r="AE370">
        <v>1</v>
      </c>
      <c r="AF370" t="s">
        <v>52</v>
      </c>
      <c r="AG370">
        <v>7.6589999999999998</v>
      </c>
      <c r="AH370">
        <v>2</v>
      </c>
      <c r="AI370">
        <v>53860939</v>
      </c>
      <c r="AJ370">
        <v>258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</row>
    <row r="371" spans="1:44" x14ac:dyDescent="0.2">
      <c r="A371">
        <f>ROW(Source!A227)</f>
        <v>227</v>
      </c>
      <c r="B371">
        <v>53861383</v>
      </c>
      <c r="C371">
        <v>53860938</v>
      </c>
      <c r="D371">
        <v>29580491</v>
      </c>
      <c r="E371">
        <v>1</v>
      </c>
      <c r="F371">
        <v>1</v>
      </c>
      <c r="G371">
        <v>29506949</v>
      </c>
      <c r="H371">
        <v>2</v>
      </c>
      <c r="I371" t="s">
        <v>650</v>
      </c>
      <c r="J371" t="s">
        <v>651</v>
      </c>
      <c r="K371" t="s">
        <v>652</v>
      </c>
      <c r="L371">
        <v>1368</v>
      </c>
      <c r="N371">
        <v>1011</v>
      </c>
      <c r="O371" t="s">
        <v>647</v>
      </c>
      <c r="P371" t="s">
        <v>647</v>
      </c>
      <c r="Q371">
        <v>1</v>
      </c>
      <c r="X371">
        <v>0.03</v>
      </c>
      <c r="Y371">
        <v>0</v>
      </c>
      <c r="Z371">
        <v>83.1</v>
      </c>
      <c r="AA371">
        <v>12.62</v>
      </c>
      <c r="AB371">
        <v>0</v>
      </c>
      <c r="AC371">
        <v>0</v>
      </c>
      <c r="AD371">
        <v>1</v>
      </c>
      <c r="AE371">
        <v>0</v>
      </c>
      <c r="AF371" t="s">
        <v>51</v>
      </c>
      <c r="AG371">
        <v>3.7499999999999999E-2</v>
      </c>
      <c r="AH371">
        <v>2</v>
      </c>
      <c r="AI371">
        <v>53860940</v>
      </c>
      <c r="AJ371">
        <v>259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</row>
    <row r="372" spans="1:44" x14ac:dyDescent="0.2">
      <c r="A372">
        <f>ROW(Source!A227)</f>
        <v>227</v>
      </c>
      <c r="B372">
        <v>53861384</v>
      </c>
      <c r="C372">
        <v>53860938</v>
      </c>
      <c r="D372">
        <v>29580613</v>
      </c>
      <c r="E372">
        <v>1</v>
      </c>
      <c r="F372">
        <v>1</v>
      </c>
      <c r="G372">
        <v>29506949</v>
      </c>
      <c r="H372">
        <v>2</v>
      </c>
      <c r="I372" t="s">
        <v>769</v>
      </c>
      <c r="J372" t="s">
        <v>770</v>
      </c>
      <c r="K372" t="s">
        <v>771</v>
      </c>
      <c r="L372">
        <v>1368</v>
      </c>
      <c r="N372">
        <v>1011</v>
      </c>
      <c r="O372" t="s">
        <v>647</v>
      </c>
      <c r="P372" t="s">
        <v>647</v>
      </c>
      <c r="Q372">
        <v>1</v>
      </c>
      <c r="X372">
        <v>1.33</v>
      </c>
      <c r="Y372">
        <v>0</v>
      </c>
      <c r="Z372">
        <v>0.8</v>
      </c>
      <c r="AA372">
        <v>0</v>
      </c>
      <c r="AB372">
        <v>0</v>
      </c>
      <c r="AC372">
        <v>0</v>
      </c>
      <c r="AD372">
        <v>1</v>
      </c>
      <c r="AE372">
        <v>0</v>
      </c>
      <c r="AF372" t="s">
        <v>51</v>
      </c>
      <c r="AG372">
        <v>1.6625000000000001</v>
      </c>
      <c r="AH372">
        <v>2</v>
      </c>
      <c r="AI372">
        <v>53860941</v>
      </c>
      <c r="AJ372">
        <v>260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</row>
    <row r="373" spans="1:44" x14ac:dyDescent="0.2">
      <c r="A373">
        <f>ROW(Source!A227)</f>
        <v>227</v>
      </c>
      <c r="B373">
        <v>53861385</v>
      </c>
      <c r="C373">
        <v>53860938</v>
      </c>
      <c r="D373">
        <v>29580571</v>
      </c>
      <c r="E373">
        <v>1</v>
      </c>
      <c r="F373">
        <v>1</v>
      </c>
      <c r="G373">
        <v>29506949</v>
      </c>
      <c r="H373">
        <v>2</v>
      </c>
      <c r="I373" t="s">
        <v>644</v>
      </c>
      <c r="J373" t="s">
        <v>645</v>
      </c>
      <c r="K373" t="s">
        <v>646</v>
      </c>
      <c r="L373">
        <v>1368</v>
      </c>
      <c r="N373">
        <v>1011</v>
      </c>
      <c r="O373" t="s">
        <v>647</v>
      </c>
      <c r="P373" t="s">
        <v>647</v>
      </c>
      <c r="Q373">
        <v>1</v>
      </c>
      <c r="X373">
        <v>2.0099999999999998</v>
      </c>
      <c r="Y373">
        <v>0</v>
      </c>
      <c r="Z373">
        <v>0.47</v>
      </c>
      <c r="AA373">
        <v>0</v>
      </c>
      <c r="AB373">
        <v>0</v>
      </c>
      <c r="AC373">
        <v>0</v>
      </c>
      <c r="AD373">
        <v>1</v>
      </c>
      <c r="AE373">
        <v>0</v>
      </c>
      <c r="AF373" t="s">
        <v>51</v>
      </c>
      <c r="AG373">
        <v>2.5124999999999997</v>
      </c>
      <c r="AH373">
        <v>2</v>
      </c>
      <c r="AI373">
        <v>53860942</v>
      </c>
      <c r="AJ373">
        <v>261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</row>
    <row r="374" spans="1:44" x14ac:dyDescent="0.2">
      <c r="A374">
        <f>ROW(Source!A227)</f>
        <v>227</v>
      </c>
      <c r="B374">
        <v>53861386</v>
      </c>
      <c r="C374">
        <v>53860938</v>
      </c>
      <c r="D374">
        <v>29558747</v>
      </c>
      <c r="E374">
        <v>1</v>
      </c>
      <c r="F374">
        <v>1</v>
      </c>
      <c r="G374">
        <v>29506949</v>
      </c>
      <c r="H374">
        <v>3</v>
      </c>
      <c r="I374" t="s">
        <v>802</v>
      </c>
      <c r="J374" t="s">
        <v>803</v>
      </c>
      <c r="K374" t="s">
        <v>804</v>
      </c>
      <c r="L374">
        <v>1355</v>
      </c>
      <c r="N374">
        <v>1010</v>
      </c>
      <c r="O374" t="s">
        <v>129</v>
      </c>
      <c r="P374" t="s">
        <v>129</v>
      </c>
      <c r="Q374">
        <v>100</v>
      </c>
      <c r="X374">
        <v>2.63</v>
      </c>
      <c r="Y374">
        <v>64.180000000000007</v>
      </c>
      <c r="Z374">
        <v>0</v>
      </c>
      <c r="AA374">
        <v>0</v>
      </c>
      <c r="AB374">
        <v>0</v>
      </c>
      <c r="AC374">
        <v>0</v>
      </c>
      <c r="AD374">
        <v>1</v>
      </c>
      <c r="AE374">
        <v>0</v>
      </c>
      <c r="AF374" t="s">
        <v>3</v>
      </c>
      <c r="AG374">
        <v>2.63</v>
      </c>
      <c r="AH374">
        <v>2</v>
      </c>
      <c r="AI374">
        <v>53860943</v>
      </c>
      <c r="AJ374">
        <v>263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</row>
    <row r="375" spans="1:44" x14ac:dyDescent="0.2">
      <c r="A375">
        <f>ROW(Source!A227)</f>
        <v>227</v>
      </c>
      <c r="B375">
        <v>53861387</v>
      </c>
      <c r="C375">
        <v>53860938</v>
      </c>
      <c r="D375">
        <v>29558767</v>
      </c>
      <c r="E375">
        <v>1</v>
      </c>
      <c r="F375">
        <v>1</v>
      </c>
      <c r="G375">
        <v>29506949</v>
      </c>
      <c r="H375">
        <v>3</v>
      </c>
      <c r="I375" t="s">
        <v>805</v>
      </c>
      <c r="J375" t="s">
        <v>806</v>
      </c>
      <c r="K375" t="s">
        <v>807</v>
      </c>
      <c r="L375">
        <v>1355</v>
      </c>
      <c r="N375">
        <v>1010</v>
      </c>
      <c r="O375" t="s">
        <v>129</v>
      </c>
      <c r="P375" t="s">
        <v>129</v>
      </c>
      <c r="Q375">
        <v>100</v>
      </c>
      <c r="X375">
        <v>2.63</v>
      </c>
      <c r="Y375">
        <v>10.6</v>
      </c>
      <c r="Z375">
        <v>0</v>
      </c>
      <c r="AA375">
        <v>0</v>
      </c>
      <c r="AB375">
        <v>0</v>
      </c>
      <c r="AC375">
        <v>0</v>
      </c>
      <c r="AD375">
        <v>1</v>
      </c>
      <c r="AE375">
        <v>0</v>
      </c>
      <c r="AF375" t="s">
        <v>3</v>
      </c>
      <c r="AG375">
        <v>2.63</v>
      </c>
      <c r="AH375">
        <v>2</v>
      </c>
      <c r="AI375">
        <v>53860944</v>
      </c>
      <c r="AJ375">
        <v>264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</row>
    <row r="376" spans="1:44" x14ac:dyDescent="0.2">
      <c r="A376">
        <f>ROW(Source!A227)</f>
        <v>227</v>
      </c>
      <c r="B376">
        <v>53861388</v>
      </c>
      <c r="C376">
        <v>53860938</v>
      </c>
      <c r="D376">
        <v>33481681</v>
      </c>
      <c r="E376">
        <v>29506949</v>
      </c>
      <c r="F376">
        <v>1</v>
      </c>
      <c r="G376">
        <v>29506949</v>
      </c>
      <c r="H376">
        <v>3</v>
      </c>
      <c r="I376" t="s">
        <v>954</v>
      </c>
      <c r="J376" t="s">
        <v>3</v>
      </c>
      <c r="K376" t="s">
        <v>955</v>
      </c>
      <c r="L376">
        <v>1355</v>
      </c>
      <c r="N376">
        <v>1010</v>
      </c>
      <c r="O376" t="s">
        <v>129</v>
      </c>
      <c r="P376" t="s">
        <v>129</v>
      </c>
      <c r="Q376">
        <v>100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 t="s">
        <v>3</v>
      </c>
      <c r="AG376">
        <v>0</v>
      </c>
      <c r="AH376">
        <v>3</v>
      </c>
      <c r="AI376">
        <v>-1</v>
      </c>
      <c r="AJ376" t="s">
        <v>3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</row>
    <row r="377" spans="1:44" x14ac:dyDescent="0.2">
      <c r="A377">
        <f>ROW(Source!A227)</f>
        <v>227</v>
      </c>
      <c r="B377">
        <v>53861389</v>
      </c>
      <c r="C377">
        <v>53860938</v>
      </c>
      <c r="D377">
        <v>29523110</v>
      </c>
      <c r="E377">
        <v>29506949</v>
      </c>
      <c r="F377">
        <v>1</v>
      </c>
      <c r="G377">
        <v>29506949</v>
      </c>
      <c r="H377">
        <v>3</v>
      </c>
      <c r="I377" t="s">
        <v>956</v>
      </c>
      <c r="J377" t="s">
        <v>3</v>
      </c>
      <c r="K377" t="s">
        <v>957</v>
      </c>
      <c r="L377">
        <v>1301</v>
      </c>
      <c r="N377">
        <v>1003</v>
      </c>
      <c r="O377" t="s">
        <v>125</v>
      </c>
      <c r="P377" t="s">
        <v>125</v>
      </c>
      <c r="Q377">
        <v>1</v>
      </c>
      <c r="X377">
        <v>101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 t="s">
        <v>3</v>
      </c>
      <c r="AG377">
        <v>101</v>
      </c>
      <c r="AH377">
        <v>3</v>
      </c>
      <c r="AI377">
        <v>-1</v>
      </c>
      <c r="AJ377" t="s">
        <v>3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</row>
    <row r="378" spans="1:44" x14ac:dyDescent="0.2">
      <c r="A378">
        <f>ROW(Source!A229)</f>
        <v>229</v>
      </c>
      <c r="B378">
        <v>53861390</v>
      </c>
      <c r="C378">
        <v>53860955</v>
      </c>
      <c r="D378">
        <v>29506954</v>
      </c>
      <c r="E378">
        <v>29506949</v>
      </c>
      <c r="F378">
        <v>1</v>
      </c>
      <c r="G378">
        <v>29506949</v>
      </c>
      <c r="H378">
        <v>1</v>
      </c>
      <c r="I378" t="s">
        <v>638</v>
      </c>
      <c r="J378" t="s">
        <v>3</v>
      </c>
      <c r="K378" t="s">
        <v>639</v>
      </c>
      <c r="L378">
        <v>1191</v>
      </c>
      <c r="N378">
        <v>1013</v>
      </c>
      <c r="O378" t="s">
        <v>640</v>
      </c>
      <c r="P378" t="s">
        <v>640</v>
      </c>
      <c r="Q378">
        <v>1</v>
      </c>
      <c r="X378">
        <v>16.64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1</v>
      </c>
      <c r="AF378" t="s">
        <v>52</v>
      </c>
      <c r="AG378">
        <v>19.135999999999999</v>
      </c>
      <c r="AH378">
        <v>2</v>
      </c>
      <c r="AI378">
        <v>53860956</v>
      </c>
      <c r="AJ378">
        <v>265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</row>
    <row r="379" spans="1:44" x14ac:dyDescent="0.2">
      <c r="A379">
        <f>ROW(Source!A229)</f>
        <v>229</v>
      </c>
      <c r="B379">
        <v>53861391</v>
      </c>
      <c r="C379">
        <v>53860955</v>
      </c>
      <c r="D379">
        <v>29580491</v>
      </c>
      <c r="E379">
        <v>1</v>
      </c>
      <c r="F379">
        <v>1</v>
      </c>
      <c r="G379">
        <v>29506949</v>
      </c>
      <c r="H379">
        <v>2</v>
      </c>
      <c r="I379" t="s">
        <v>650</v>
      </c>
      <c r="J379" t="s">
        <v>651</v>
      </c>
      <c r="K379" t="s">
        <v>652</v>
      </c>
      <c r="L379">
        <v>1368</v>
      </c>
      <c r="N379">
        <v>1011</v>
      </c>
      <c r="O379" t="s">
        <v>647</v>
      </c>
      <c r="P379" t="s">
        <v>647</v>
      </c>
      <c r="Q379">
        <v>1</v>
      </c>
      <c r="X379">
        <v>0.02</v>
      </c>
      <c r="Y379">
        <v>0</v>
      </c>
      <c r="Z379">
        <v>83.1</v>
      </c>
      <c r="AA379">
        <v>12.62</v>
      </c>
      <c r="AB379">
        <v>0</v>
      </c>
      <c r="AC379">
        <v>0</v>
      </c>
      <c r="AD379">
        <v>1</v>
      </c>
      <c r="AE379">
        <v>0</v>
      </c>
      <c r="AF379" t="s">
        <v>51</v>
      </c>
      <c r="AG379">
        <v>2.5000000000000001E-2</v>
      </c>
      <c r="AH379">
        <v>3</v>
      </c>
      <c r="AI379">
        <v>-1</v>
      </c>
      <c r="AJ379" t="s">
        <v>3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</row>
    <row r="380" spans="1:44" x14ac:dyDescent="0.2">
      <c r="A380">
        <f>ROW(Source!A229)</f>
        <v>229</v>
      </c>
      <c r="B380">
        <v>53861392</v>
      </c>
      <c r="C380">
        <v>53860955</v>
      </c>
      <c r="D380">
        <v>29580613</v>
      </c>
      <c r="E380">
        <v>1</v>
      </c>
      <c r="F380">
        <v>1</v>
      </c>
      <c r="G380">
        <v>29506949</v>
      </c>
      <c r="H380">
        <v>2</v>
      </c>
      <c r="I380" t="s">
        <v>769</v>
      </c>
      <c r="J380" t="s">
        <v>770</v>
      </c>
      <c r="K380" t="s">
        <v>771</v>
      </c>
      <c r="L380">
        <v>1368</v>
      </c>
      <c r="N380">
        <v>1011</v>
      </c>
      <c r="O380" t="s">
        <v>647</v>
      </c>
      <c r="P380" t="s">
        <v>647</v>
      </c>
      <c r="Q380">
        <v>1</v>
      </c>
      <c r="X380">
        <v>4.29</v>
      </c>
      <c r="Y380">
        <v>0</v>
      </c>
      <c r="Z380">
        <v>0.8</v>
      </c>
      <c r="AA380">
        <v>0</v>
      </c>
      <c r="AB380">
        <v>0</v>
      </c>
      <c r="AC380">
        <v>0</v>
      </c>
      <c r="AD380">
        <v>1</v>
      </c>
      <c r="AE380">
        <v>0</v>
      </c>
      <c r="AF380" t="s">
        <v>51</v>
      </c>
      <c r="AG380">
        <v>5.3624999999999998</v>
      </c>
      <c r="AH380">
        <v>2</v>
      </c>
      <c r="AI380">
        <v>53860957</v>
      </c>
      <c r="AJ380">
        <v>266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</row>
    <row r="381" spans="1:44" x14ac:dyDescent="0.2">
      <c r="A381">
        <f>ROW(Source!A229)</f>
        <v>229</v>
      </c>
      <c r="B381">
        <v>53861393</v>
      </c>
      <c r="C381">
        <v>53860955</v>
      </c>
      <c r="D381">
        <v>29580545</v>
      </c>
      <c r="E381">
        <v>1</v>
      </c>
      <c r="F381">
        <v>1</v>
      </c>
      <c r="G381">
        <v>29506949</v>
      </c>
      <c r="H381">
        <v>2</v>
      </c>
      <c r="I381" t="s">
        <v>796</v>
      </c>
      <c r="J381" t="s">
        <v>797</v>
      </c>
      <c r="K381" t="s">
        <v>798</v>
      </c>
      <c r="L381">
        <v>1368</v>
      </c>
      <c r="N381">
        <v>1011</v>
      </c>
      <c r="O381" t="s">
        <v>647</v>
      </c>
      <c r="P381" t="s">
        <v>647</v>
      </c>
      <c r="Q381">
        <v>1</v>
      </c>
      <c r="X381">
        <v>0.36</v>
      </c>
      <c r="Y381">
        <v>0</v>
      </c>
      <c r="Z381">
        <v>0.36</v>
      </c>
      <c r="AA381">
        <v>0</v>
      </c>
      <c r="AB381">
        <v>0</v>
      </c>
      <c r="AC381">
        <v>0</v>
      </c>
      <c r="AD381">
        <v>1</v>
      </c>
      <c r="AE381">
        <v>0</v>
      </c>
      <c r="AF381" t="s">
        <v>51</v>
      </c>
      <c r="AG381">
        <v>0.44999999999999996</v>
      </c>
      <c r="AH381">
        <v>2</v>
      </c>
      <c r="AI381">
        <v>53860958</v>
      </c>
      <c r="AJ381">
        <v>267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</row>
    <row r="382" spans="1:44" x14ac:dyDescent="0.2">
      <c r="A382">
        <f>ROW(Source!A229)</f>
        <v>229</v>
      </c>
      <c r="B382">
        <v>53861394</v>
      </c>
      <c r="C382">
        <v>53860955</v>
      </c>
      <c r="D382">
        <v>29580571</v>
      </c>
      <c r="E382">
        <v>1</v>
      </c>
      <c r="F382">
        <v>1</v>
      </c>
      <c r="G382">
        <v>29506949</v>
      </c>
      <c r="H382">
        <v>2</v>
      </c>
      <c r="I382" t="s">
        <v>644</v>
      </c>
      <c r="J382" t="s">
        <v>645</v>
      </c>
      <c r="K382" t="s">
        <v>646</v>
      </c>
      <c r="L382">
        <v>1368</v>
      </c>
      <c r="N382">
        <v>1011</v>
      </c>
      <c r="O382" t="s">
        <v>647</v>
      </c>
      <c r="P382" t="s">
        <v>647</v>
      </c>
      <c r="Q382">
        <v>1</v>
      </c>
      <c r="X382">
        <v>5.84</v>
      </c>
      <c r="Y382">
        <v>0</v>
      </c>
      <c r="Z382">
        <v>0.47</v>
      </c>
      <c r="AA382">
        <v>0</v>
      </c>
      <c r="AB382">
        <v>0</v>
      </c>
      <c r="AC382">
        <v>0</v>
      </c>
      <c r="AD382">
        <v>1</v>
      </c>
      <c r="AE382">
        <v>0</v>
      </c>
      <c r="AF382" t="s">
        <v>51</v>
      </c>
      <c r="AG382">
        <v>7.3</v>
      </c>
      <c r="AH382">
        <v>2</v>
      </c>
      <c r="AI382">
        <v>53860959</v>
      </c>
      <c r="AJ382">
        <v>268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</row>
    <row r="383" spans="1:44" x14ac:dyDescent="0.2">
      <c r="A383">
        <f>ROW(Source!A229)</f>
        <v>229</v>
      </c>
      <c r="B383">
        <v>53861395</v>
      </c>
      <c r="C383">
        <v>53860955</v>
      </c>
      <c r="D383">
        <v>29555596</v>
      </c>
      <c r="E383">
        <v>1</v>
      </c>
      <c r="F383">
        <v>1</v>
      </c>
      <c r="G383">
        <v>29506949</v>
      </c>
      <c r="H383">
        <v>3</v>
      </c>
      <c r="I383" t="s">
        <v>808</v>
      </c>
      <c r="J383" t="s">
        <v>809</v>
      </c>
      <c r="K383" t="s">
        <v>810</v>
      </c>
      <c r="L383">
        <v>1346</v>
      </c>
      <c r="N383">
        <v>1009</v>
      </c>
      <c r="O383" t="s">
        <v>58</v>
      </c>
      <c r="P383" t="s">
        <v>58</v>
      </c>
      <c r="Q383">
        <v>1</v>
      </c>
      <c r="X383">
        <v>0.94</v>
      </c>
      <c r="Y383">
        <v>48.15</v>
      </c>
      <c r="Z383">
        <v>0</v>
      </c>
      <c r="AA383">
        <v>0</v>
      </c>
      <c r="AB383">
        <v>0</v>
      </c>
      <c r="AC383">
        <v>0</v>
      </c>
      <c r="AD383">
        <v>1</v>
      </c>
      <c r="AE383">
        <v>0</v>
      </c>
      <c r="AF383" t="s">
        <v>3</v>
      </c>
      <c r="AG383">
        <v>0.94</v>
      </c>
      <c r="AH383">
        <v>2</v>
      </c>
      <c r="AI383">
        <v>53860961</v>
      </c>
      <c r="AJ383">
        <v>270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</row>
    <row r="384" spans="1:44" x14ac:dyDescent="0.2">
      <c r="A384">
        <f>ROW(Source!A229)</f>
        <v>229</v>
      </c>
      <c r="B384">
        <v>53861396</v>
      </c>
      <c r="C384">
        <v>53860955</v>
      </c>
      <c r="D384">
        <v>29521308</v>
      </c>
      <c r="E384">
        <v>29506949</v>
      </c>
      <c r="F384">
        <v>1</v>
      </c>
      <c r="G384">
        <v>29506949</v>
      </c>
      <c r="H384">
        <v>3</v>
      </c>
      <c r="I384" t="s">
        <v>958</v>
      </c>
      <c r="J384" t="s">
        <v>3</v>
      </c>
      <c r="K384" t="s">
        <v>959</v>
      </c>
      <c r="L384">
        <v>1301</v>
      </c>
      <c r="N384">
        <v>1003</v>
      </c>
      <c r="O384" t="s">
        <v>125</v>
      </c>
      <c r="P384" t="s">
        <v>125</v>
      </c>
      <c r="Q384">
        <v>1</v>
      </c>
      <c r="X384">
        <v>105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 t="s">
        <v>3</v>
      </c>
      <c r="AG384">
        <v>105</v>
      </c>
      <c r="AH384">
        <v>3</v>
      </c>
      <c r="AI384">
        <v>-1</v>
      </c>
      <c r="AJ384" t="s">
        <v>3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</row>
    <row r="385" spans="1:44" x14ac:dyDescent="0.2">
      <c r="A385">
        <f>ROW(Source!A266)</f>
        <v>266</v>
      </c>
      <c r="B385">
        <v>54021095</v>
      </c>
      <c r="C385">
        <v>54021083</v>
      </c>
      <c r="D385">
        <v>29506954</v>
      </c>
      <c r="E385">
        <v>29506949</v>
      </c>
      <c r="F385">
        <v>1</v>
      </c>
      <c r="G385">
        <v>29506949</v>
      </c>
      <c r="H385">
        <v>1</v>
      </c>
      <c r="I385" t="s">
        <v>638</v>
      </c>
      <c r="J385" t="s">
        <v>3</v>
      </c>
      <c r="K385" t="s">
        <v>639</v>
      </c>
      <c r="L385">
        <v>1191</v>
      </c>
      <c r="N385">
        <v>1013</v>
      </c>
      <c r="O385" t="s">
        <v>640</v>
      </c>
      <c r="P385" t="s">
        <v>640</v>
      </c>
      <c r="Q385">
        <v>1</v>
      </c>
      <c r="X385">
        <v>56.18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1</v>
      </c>
      <c r="AE385">
        <v>1</v>
      </c>
      <c r="AF385" t="s">
        <v>218</v>
      </c>
      <c r="AG385">
        <v>33.707999999999998</v>
      </c>
      <c r="AH385">
        <v>2</v>
      </c>
      <c r="AI385">
        <v>54021084</v>
      </c>
      <c r="AJ385">
        <v>272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</row>
    <row r="386" spans="1:44" x14ac:dyDescent="0.2">
      <c r="A386">
        <f>ROW(Source!A266)</f>
        <v>266</v>
      </c>
      <c r="B386">
        <v>54021096</v>
      </c>
      <c r="C386">
        <v>54021083</v>
      </c>
      <c r="D386">
        <v>29580491</v>
      </c>
      <c r="E386">
        <v>1</v>
      </c>
      <c r="F386">
        <v>1</v>
      </c>
      <c r="G386">
        <v>29506949</v>
      </c>
      <c r="H386">
        <v>2</v>
      </c>
      <c r="I386" t="s">
        <v>650</v>
      </c>
      <c r="J386" t="s">
        <v>651</v>
      </c>
      <c r="K386" t="s">
        <v>652</v>
      </c>
      <c r="L386">
        <v>1368</v>
      </c>
      <c r="N386">
        <v>1011</v>
      </c>
      <c r="O386" t="s">
        <v>647</v>
      </c>
      <c r="P386" t="s">
        <v>647</v>
      </c>
      <c r="Q386">
        <v>1</v>
      </c>
      <c r="X386">
        <v>0.19</v>
      </c>
      <c r="Y386">
        <v>0</v>
      </c>
      <c r="Z386">
        <v>83.1</v>
      </c>
      <c r="AA386">
        <v>12.62</v>
      </c>
      <c r="AB386">
        <v>0</v>
      </c>
      <c r="AC386">
        <v>0</v>
      </c>
      <c r="AD386">
        <v>1</v>
      </c>
      <c r="AE386">
        <v>0</v>
      </c>
      <c r="AF386" t="s">
        <v>218</v>
      </c>
      <c r="AG386">
        <v>0.11399999999999999</v>
      </c>
      <c r="AH386">
        <v>2</v>
      </c>
      <c r="AI386">
        <v>54021085</v>
      </c>
      <c r="AJ386">
        <v>273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</row>
    <row r="387" spans="1:44" x14ac:dyDescent="0.2">
      <c r="A387">
        <f>ROW(Source!A266)</f>
        <v>266</v>
      </c>
      <c r="B387">
        <v>54021097</v>
      </c>
      <c r="C387">
        <v>54021083</v>
      </c>
      <c r="D387">
        <v>29580614</v>
      </c>
      <c r="E387">
        <v>1</v>
      </c>
      <c r="F387">
        <v>1</v>
      </c>
      <c r="G387">
        <v>29506949</v>
      </c>
      <c r="H387">
        <v>2</v>
      </c>
      <c r="I387" t="s">
        <v>682</v>
      </c>
      <c r="J387" t="s">
        <v>683</v>
      </c>
      <c r="K387" t="s">
        <v>684</v>
      </c>
      <c r="L387">
        <v>1368</v>
      </c>
      <c r="N387">
        <v>1011</v>
      </c>
      <c r="O387" t="s">
        <v>647</v>
      </c>
      <c r="P387" t="s">
        <v>647</v>
      </c>
      <c r="Q387">
        <v>1</v>
      </c>
      <c r="X387">
        <v>3.6</v>
      </c>
      <c r="Y387">
        <v>0</v>
      </c>
      <c r="Z387">
        <v>1.1100000000000001</v>
      </c>
      <c r="AA387">
        <v>0</v>
      </c>
      <c r="AB387">
        <v>0</v>
      </c>
      <c r="AC387">
        <v>0</v>
      </c>
      <c r="AD387">
        <v>1</v>
      </c>
      <c r="AE387">
        <v>0</v>
      </c>
      <c r="AF387" t="s">
        <v>218</v>
      </c>
      <c r="AG387">
        <v>2.16</v>
      </c>
      <c r="AH387">
        <v>2</v>
      </c>
      <c r="AI387">
        <v>54021086</v>
      </c>
      <c r="AJ387">
        <v>274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</row>
    <row r="388" spans="1:44" x14ac:dyDescent="0.2">
      <c r="A388">
        <f>ROW(Source!A266)</f>
        <v>266</v>
      </c>
      <c r="B388">
        <v>54021098</v>
      </c>
      <c r="C388">
        <v>54021083</v>
      </c>
      <c r="D388">
        <v>29580545</v>
      </c>
      <c r="E388">
        <v>1</v>
      </c>
      <c r="F388">
        <v>1</v>
      </c>
      <c r="G388">
        <v>29506949</v>
      </c>
      <c r="H388">
        <v>2</v>
      </c>
      <c r="I388" t="s">
        <v>796</v>
      </c>
      <c r="J388" t="s">
        <v>797</v>
      </c>
      <c r="K388" t="s">
        <v>798</v>
      </c>
      <c r="L388">
        <v>1368</v>
      </c>
      <c r="N388">
        <v>1011</v>
      </c>
      <c r="O388" t="s">
        <v>647</v>
      </c>
      <c r="P388" t="s">
        <v>647</v>
      </c>
      <c r="Q388">
        <v>1</v>
      </c>
      <c r="X388">
        <v>0.3</v>
      </c>
      <c r="Y388">
        <v>0</v>
      </c>
      <c r="Z388">
        <v>0.36</v>
      </c>
      <c r="AA388">
        <v>0</v>
      </c>
      <c r="AB388">
        <v>0</v>
      </c>
      <c r="AC388">
        <v>0</v>
      </c>
      <c r="AD388">
        <v>1</v>
      </c>
      <c r="AE388">
        <v>0</v>
      </c>
      <c r="AF388" t="s">
        <v>218</v>
      </c>
      <c r="AG388">
        <v>0.18</v>
      </c>
      <c r="AH388">
        <v>2</v>
      </c>
      <c r="AI388">
        <v>54021087</v>
      </c>
      <c r="AJ388">
        <v>275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</row>
    <row r="389" spans="1:44" x14ac:dyDescent="0.2">
      <c r="A389">
        <f>ROW(Source!A266)</f>
        <v>266</v>
      </c>
      <c r="B389">
        <v>54021099</v>
      </c>
      <c r="C389">
        <v>54021083</v>
      </c>
      <c r="D389">
        <v>29507683</v>
      </c>
      <c r="E389">
        <v>29506949</v>
      </c>
      <c r="F389">
        <v>1</v>
      </c>
      <c r="G389">
        <v>29506949</v>
      </c>
      <c r="H389">
        <v>2</v>
      </c>
      <c r="I389" t="s">
        <v>641</v>
      </c>
      <c r="J389" t="s">
        <v>3</v>
      </c>
      <c r="K389" t="s">
        <v>642</v>
      </c>
      <c r="L389">
        <v>1344</v>
      </c>
      <c r="N389">
        <v>1008</v>
      </c>
      <c r="O389" t="s">
        <v>643</v>
      </c>
      <c r="P389" t="s">
        <v>643</v>
      </c>
      <c r="Q389">
        <v>1</v>
      </c>
      <c r="X389">
        <v>0.02</v>
      </c>
      <c r="Y389">
        <v>0</v>
      </c>
      <c r="Z389">
        <v>1</v>
      </c>
      <c r="AA389">
        <v>0</v>
      </c>
      <c r="AB389">
        <v>0</v>
      </c>
      <c r="AC389">
        <v>0</v>
      </c>
      <c r="AD389">
        <v>1</v>
      </c>
      <c r="AE389">
        <v>0</v>
      </c>
      <c r="AF389" t="s">
        <v>218</v>
      </c>
      <c r="AG389">
        <v>1.2E-2</v>
      </c>
      <c r="AH389">
        <v>2</v>
      </c>
      <c r="AI389">
        <v>54021088</v>
      </c>
      <c r="AJ389">
        <v>276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</row>
    <row r="390" spans="1:44" x14ac:dyDescent="0.2">
      <c r="A390">
        <f>ROW(Source!A266)</f>
        <v>266</v>
      </c>
      <c r="B390">
        <v>54021100</v>
      </c>
      <c r="C390">
        <v>54021083</v>
      </c>
      <c r="D390">
        <v>29557702</v>
      </c>
      <c r="E390">
        <v>1</v>
      </c>
      <c r="F390">
        <v>1</v>
      </c>
      <c r="G390">
        <v>29506949</v>
      </c>
      <c r="H390">
        <v>3</v>
      </c>
      <c r="I390" t="s">
        <v>811</v>
      </c>
      <c r="J390" t="s">
        <v>812</v>
      </c>
      <c r="K390" t="s">
        <v>813</v>
      </c>
      <c r="L390">
        <v>1296</v>
      </c>
      <c r="N390">
        <v>1002</v>
      </c>
      <c r="O390" t="s">
        <v>154</v>
      </c>
      <c r="P390" t="s">
        <v>154</v>
      </c>
      <c r="Q390">
        <v>1</v>
      </c>
      <c r="X390">
        <v>2.6</v>
      </c>
      <c r="Y390">
        <v>177.8</v>
      </c>
      <c r="Z390">
        <v>0</v>
      </c>
      <c r="AA390">
        <v>0</v>
      </c>
      <c r="AB390">
        <v>0</v>
      </c>
      <c r="AC390">
        <v>0</v>
      </c>
      <c r="AD390">
        <v>1</v>
      </c>
      <c r="AE390">
        <v>0</v>
      </c>
      <c r="AF390" t="s">
        <v>35</v>
      </c>
      <c r="AG390">
        <v>0</v>
      </c>
      <c r="AH390">
        <v>2</v>
      </c>
      <c r="AI390">
        <v>54021089</v>
      </c>
      <c r="AJ390">
        <v>277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</row>
    <row r="391" spans="1:44" x14ac:dyDescent="0.2">
      <c r="A391">
        <f>ROW(Source!A266)</f>
        <v>266</v>
      </c>
      <c r="B391">
        <v>54021101</v>
      </c>
      <c r="C391">
        <v>54021083</v>
      </c>
      <c r="D391">
        <v>29558646</v>
      </c>
      <c r="E391">
        <v>1</v>
      </c>
      <c r="F391">
        <v>1</v>
      </c>
      <c r="G391">
        <v>29506949</v>
      </c>
      <c r="H391">
        <v>3</v>
      </c>
      <c r="I391" t="s">
        <v>814</v>
      </c>
      <c r="J391" t="s">
        <v>815</v>
      </c>
      <c r="K391" t="s">
        <v>816</v>
      </c>
      <c r="L391">
        <v>1296</v>
      </c>
      <c r="N391">
        <v>1002</v>
      </c>
      <c r="O391" t="s">
        <v>154</v>
      </c>
      <c r="P391" t="s">
        <v>154</v>
      </c>
      <c r="Q391">
        <v>1</v>
      </c>
      <c r="X391">
        <v>6.1</v>
      </c>
      <c r="Y391">
        <v>125.73</v>
      </c>
      <c r="Z391">
        <v>0</v>
      </c>
      <c r="AA391">
        <v>0</v>
      </c>
      <c r="AB391">
        <v>0</v>
      </c>
      <c r="AC391">
        <v>0</v>
      </c>
      <c r="AD391">
        <v>1</v>
      </c>
      <c r="AE391">
        <v>0</v>
      </c>
      <c r="AF391" t="s">
        <v>35</v>
      </c>
      <c r="AG391">
        <v>0</v>
      </c>
      <c r="AH391">
        <v>2</v>
      </c>
      <c r="AI391">
        <v>54021090</v>
      </c>
      <c r="AJ391">
        <v>278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</row>
    <row r="392" spans="1:44" x14ac:dyDescent="0.2">
      <c r="A392">
        <f>ROW(Source!A266)</f>
        <v>266</v>
      </c>
      <c r="B392">
        <v>54021102</v>
      </c>
      <c r="C392">
        <v>54021083</v>
      </c>
      <c r="D392">
        <v>29555566</v>
      </c>
      <c r="E392">
        <v>1</v>
      </c>
      <c r="F392">
        <v>1</v>
      </c>
      <c r="G392">
        <v>29506949</v>
      </c>
      <c r="H392">
        <v>3</v>
      </c>
      <c r="I392" t="s">
        <v>817</v>
      </c>
      <c r="J392" t="s">
        <v>818</v>
      </c>
      <c r="K392" t="s">
        <v>819</v>
      </c>
      <c r="L392">
        <v>1339</v>
      </c>
      <c r="N392">
        <v>1007</v>
      </c>
      <c r="O392" t="s">
        <v>70</v>
      </c>
      <c r="P392" t="s">
        <v>70</v>
      </c>
      <c r="Q392">
        <v>1</v>
      </c>
      <c r="X392">
        <v>1.6000000000000001E-3</v>
      </c>
      <c r="Y392">
        <v>2472.13</v>
      </c>
      <c r="Z392">
        <v>0</v>
      </c>
      <c r="AA392">
        <v>0</v>
      </c>
      <c r="AB392">
        <v>0</v>
      </c>
      <c r="AC392">
        <v>0</v>
      </c>
      <c r="AD392">
        <v>1</v>
      </c>
      <c r="AE392">
        <v>0</v>
      </c>
      <c r="AF392" t="s">
        <v>35</v>
      </c>
      <c r="AG392">
        <v>0</v>
      </c>
      <c r="AH392">
        <v>2</v>
      </c>
      <c r="AI392">
        <v>54021091</v>
      </c>
      <c r="AJ392">
        <v>279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</row>
    <row r="393" spans="1:44" x14ac:dyDescent="0.2">
      <c r="A393">
        <f>ROW(Source!A266)</f>
        <v>266</v>
      </c>
      <c r="B393">
        <v>54021103</v>
      </c>
      <c r="C393">
        <v>54021083</v>
      </c>
      <c r="D393">
        <v>29574109</v>
      </c>
      <c r="E393">
        <v>1</v>
      </c>
      <c r="F393">
        <v>1</v>
      </c>
      <c r="G393">
        <v>29506949</v>
      </c>
      <c r="H393">
        <v>3</v>
      </c>
      <c r="I393" t="s">
        <v>414</v>
      </c>
      <c r="J393" t="s">
        <v>416</v>
      </c>
      <c r="K393" t="s">
        <v>415</v>
      </c>
      <c r="L393">
        <v>1339</v>
      </c>
      <c r="N393">
        <v>1007</v>
      </c>
      <c r="O393" t="s">
        <v>70</v>
      </c>
      <c r="P393" t="s">
        <v>70</v>
      </c>
      <c r="Q393">
        <v>1</v>
      </c>
      <c r="X393">
        <v>0.01</v>
      </c>
      <c r="Y393">
        <v>478.96</v>
      </c>
      <c r="Z393">
        <v>0</v>
      </c>
      <c r="AA393">
        <v>0</v>
      </c>
      <c r="AB393">
        <v>0</v>
      </c>
      <c r="AC393">
        <v>0</v>
      </c>
      <c r="AD393">
        <v>1</v>
      </c>
      <c r="AE393">
        <v>0</v>
      </c>
      <c r="AF393" t="s">
        <v>35</v>
      </c>
      <c r="AG393">
        <v>0</v>
      </c>
      <c r="AH393">
        <v>2</v>
      </c>
      <c r="AI393">
        <v>54021092</v>
      </c>
      <c r="AJ393">
        <v>280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</row>
    <row r="394" spans="1:44" x14ac:dyDescent="0.2">
      <c r="A394">
        <f>ROW(Source!A266)</f>
        <v>266</v>
      </c>
      <c r="B394">
        <v>54021104</v>
      </c>
      <c r="C394">
        <v>54021083</v>
      </c>
      <c r="D394">
        <v>31659018</v>
      </c>
      <c r="E394">
        <v>1</v>
      </c>
      <c r="F394">
        <v>1</v>
      </c>
      <c r="G394">
        <v>29506949</v>
      </c>
      <c r="H394">
        <v>3</v>
      </c>
      <c r="I394" t="s">
        <v>820</v>
      </c>
      <c r="J394" t="s">
        <v>821</v>
      </c>
      <c r="K394" t="s">
        <v>822</v>
      </c>
      <c r="L394">
        <v>1354</v>
      </c>
      <c r="N394">
        <v>1010</v>
      </c>
      <c r="O394" t="s">
        <v>536</v>
      </c>
      <c r="P394" t="s">
        <v>536</v>
      </c>
      <c r="Q394">
        <v>1</v>
      </c>
      <c r="X394">
        <v>0.6</v>
      </c>
      <c r="Y394">
        <v>14.23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0</v>
      </c>
      <c r="AF394" t="s">
        <v>35</v>
      </c>
      <c r="AG394">
        <v>0</v>
      </c>
      <c r="AH394">
        <v>2</v>
      </c>
      <c r="AI394">
        <v>54021093</v>
      </c>
      <c r="AJ394">
        <v>281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</row>
    <row r="395" spans="1:44" x14ac:dyDescent="0.2">
      <c r="A395">
        <f>ROW(Source!A266)</f>
        <v>266</v>
      </c>
      <c r="B395">
        <v>54021105</v>
      </c>
      <c r="C395">
        <v>54021083</v>
      </c>
      <c r="D395">
        <v>29577956</v>
      </c>
      <c r="E395">
        <v>1</v>
      </c>
      <c r="F395">
        <v>1</v>
      </c>
      <c r="G395">
        <v>29506949</v>
      </c>
      <c r="H395">
        <v>3</v>
      </c>
      <c r="I395" t="s">
        <v>823</v>
      </c>
      <c r="J395" t="s">
        <v>824</v>
      </c>
      <c r="K395" t="s">
        <v>825</v>
      </c>
      <c r="L395">
        <v>1354</v>
      </c>
      <c r="N395">
        <v>1010</v>
      </c>
      <c r="O395" t="s">
        <v>536</v>
      </c>
      <c r="P395" t="s">
        <v>536</v>
      </c>
      <c r="Q395">
        <v>1</v>
      </c>
      <c r="X395">
        <v>60</v>
      </c>
      <c r="Y395">
        <v>25.33</v>
      </c>
      <c r="Z395">
        <v>0</v>
      </c>
      <c r="AA395">
        <v>0</v>
      </c>
      <c r="AB395">
        <v>0</v>
      </c>
      <c r="AC395">
        <v>0</v>
      </c>
      <c r="AD395">
        <v>1</v>
      </c>
      <c r="AE395">
        <v>0</v>
      </c>
      <c r="AF395" t="s">
        <v>35</v>
      </c>
      <c r="AG395">
        <v>0</v>
      </c>
      <c r="AH395">
        <v>2</v>
      </c>
      <c r="AI395">
        <v>54021094</v>
      </c>
      <c r="AJ395">
        <v>282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</row>
    <row r="396" spans="1:44" x14ac:dyDescent="0.2">
      <c r="A396">
        <f>ROW(Source!A266)</f>
        <v>266</v>
      </c>
      <c r="B396">
        <v>54021106</v>
      </c>
      <c r="C396">
        <v>54021083</v>
      </c>
      <c r="D396">
        <v>29529678</v>
      </c>
      <c r="E396">
        <v>29506949</v>
      </c>
      <c r="F396">
        <v>1</v>
      </c>
      <c r="G396">
        <v>29506949</v>
      </c>
      <c r="H396">
        <v>3</v>
      </c>
      <c r="I396" t="s">
        <v>960</v>
      </c>
      <c r="J396" t="s">
        <v>3</v>
      </c>
      <c r="K396" t="s">
        <v>961</v>
      </c>
      <c r="L396">
        <v>1354</v>
      </c>
      <c r="N396">
        <v>1010</v>
      </c>
      <c r="O396" t="s">
        <v>536</v>
      </c>
      <c r="P396" t="s">
        <v>536</v>
      </c>
      <c r="Q396">
        <v>1</v>
      </c>
      <c r="X396">
        <v>10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 t="s">
        <v>35</v>
      </c>
      <c r="AG396">
        <v>0</v>
      </c>
      <c r="AH396">
        <v>3</v>
      </c>
      <c r="AI396">
        <v>-1</v>
      </c>
      <c r="AJ396" t="s">
        <v>3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</row>
    <row r="397" spans="1:44" x14ac:dyDescent="0.2">
      <c r="A397">
        <f>ROW(Source!A267)</f>
        <v>267</v>
      </c>
      <c r="B397">
        <v>54021120</v>
      </c>
      <c r="C397">
        <v>54021107</v>
      </c>
      <c r="D397">
        <v>29506954</v>
      </c>
      <c r="E397">
        <v>29506949</v>
      </c>
      <c r="F397">
        <v>1</v>
      </c>
      <c r="G397">
        <v>29506949</v>
      </c>
      <c r="H397">
        <v>1</v>
      </c>
      <c r="I397" t="s">
        <v>638</v>
      </c>
      <c r="J397" t="s">
        <v>3</v>
      </c>
      <c r="K397" t="s">
        <v>639</v>
      </c>
      <c r="L397">
        <v>1191</v>
      </c>
      <c r="N397">
        <v>1013</v>
      </c>
      <c r="O397" t="s">
        <v>640</v>
      </c>
      <c r="P397" t="s">
        <v>640</v>
      </c>
      <c r="Q397">
        <v>1</v>
      </c>
      <c r="X397">
        <v>56.18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1</v>
      </c>
      <c r="AE397">
        <v>1</v>
      </c>
      <c r="AF397" t="s">
        <v>52</v>
      </c>
      <c r="AG397">
        <v>64.606999999999999</v>
      </c>
      <c r="AH397">
        <v>2</v>
      </c>
      <c r="AI397">
        <v>54021108</v>
      </c>
      <c r="AJ397">
        <v>283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</row>
    <row r="398" spans="1:44" x14ac:dyDescent="0.2">
      <c r="A398">
        <f>ROW(Source!A267)</f>
        <v>267</v>
      </c>
      <c r="B398">
        <v>54021121</v>
      </c>
      <c r="C398">
        <v>54021107</v>
      </c>
      <c r="D398">
        <v>29580491</v>
      </c>
      <c r="E398">
        <v>1</v>
      </c>
      <c r="F398">
        <v>1</v>
      </c>
      <c r="G398">
        <v>29506949</v>
      </c>
      <c r="H398">
        <v>2</v>
      </c>
      <c r="I398" t="s">
        <v>650</v>
      </c>
      <c r="J398" t="s">
        <v>651</v>
      </c>
      <c r="K398" t="s">
        <v>652</v>
      </c>
      <c r="L398">
        <v>1368</v>
      </c>
      <c r="N398">
        <v>1011</v>
      </c>
      <c r="O398" t="s">
        <v>647</v>
      </c>
      <c r="P398" t="s">
        <v>647</v>
      </c>
      <c r="Q398">
        <v>1</v>
      </c>
      <c r="X398">
        <v>0.19</v>
      </c>
      <c r="Y398">
        <v>0</v>
      </c>
      <c r="Z398">
        <v>83.1</v>
      </c>
      <c r="AA398">
        <v>12.62</v>
      </c>
      <c r="AB398">
        <v>0</v>
      </c>
      <c r="AC398">
        <v>0</v>
      </c>
      <c r="AD398">
        <v>1</v>
      </c>
      <c r="AE398">
        <v>0</v>
      </c>
      <c r="AF398" t="s">
        <v>51</v>
      </c>
      <c r="AG398">
        <v>0.23749999999999999</v>
      </c>
      <c r="AH398">
        <v>2</v>
      </c>
      <c r="AI398">
        <v>54021109</v>
      </c>
      <c r="AJ398">
        <v>284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</row>
    <row r="399" spans="1:44" x14ac:dyDescent="0.2">
      <c r="A399">
        <f>ROW(Source!A267)</f>
        <v>267</v>
      </c>
      <c r="B399">
        <v>54021122</v>
      </c>
      <c r="C399">
        <v>54021107</v>
      </c>
      <c r="D399">
        <v>29580614</v>
      </c>
      <c r="E399">
        <v>1</v>
      </c>
      <c r="F399">
        <v>1</v>
      </c>
      <c r="G399">
        <v>29506949</v>
      </c>
      <c r="H399">
        <v>2</v>
      </c>
      <c r="I399" t="s">
        <v>682</v>
      </c>
      <c r="J399" t="s">
        <v>683</v>
      </c>
      <c r="K399" t="s">
        <v>684</v>
      </c>
      <c r="L399">
        <v>1368</v>
      </c>
      <c r="N399">
        <v>1011</v>
      </c>
      <c r="O399" t="s">
        <v>647</v>
      </c>
      <c r="P399" t="s">
        <v>647</v>
      </c>
      <c r="Q399">
        <v>1</v>
      </c>
      <c r="X399">
        <v>3.6</v>
      </c>
      <c r="Y399">
        <v>0</v>
      </c>
      <c r="Z399">
        <v>1.1100000000000001</v>
      </c>
      <c r="AA399">
        <v>0</v>
      </c>
      <c r="AB399">
        <v>0</v>
      </c>
      <c r="AC399">
        <v>0</v>
      </c>
      <c r="AD399">
        <v>1</v>
      </c>
      <c r="AE399">
        <v>0</v>
      </c>
      <c r="AF399" t="s">
        <v>51</v>
      </c>
      <c r="AG399">
        <v>4.5</v>
      </c>
      <c r="AH399">
        <v>2</v>
      </c>
      <c r="AI399">
        <v>54021110</v>
      </c>
      <c r="AJ399">
        <v>285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</row>
    <row r="400" spans="1:44" x14ac:dyDescent="0.2">
      <c r="A400">
        <f>ROW(Source!A267)</f>
        <v>267</v>
      </c>
      <c r="B400">
        <v>54021123</v>
      </c>
      <c r="C400">
        <v>54021107</v>
      </c>
      <c r="D400">
        <v>29580545</v>
      </c>
      <c r="E400">
        <v>1</v>
      </c>
      <c r="F400">
        <v>1</v>
      </c>
      <c r="G400">
        <v>29506949</v>
      </c>
      <c r="H400">
        <v>2</v>
      </c>
      <c r="I400" t="s">
        <v>796</v>
      </c>
      <c r="J400" t="s">
        <v>797</v>
      </c>
      <c r="K400" t="s">
        <v>798</v>
      </c>
      <c r="L400">
        <v>1368</v>
      </c>
      <c r="N400">
        <v>1011</v>
      </c>
      <c r="O400" t="s">
        <v>647</v>
      </c>
      <c r="P400" t="s">
        <v>647</v>
      </c>
      <c r="Q400">
        <v>1</v>
      </c>
      <c r="X400">
        <v>0.3</v>
      </c>
      <c r="Y400">
        <v>0</v>
      </c>
      <c r="Z400">
        <v>0.36</v>
      </c>
      <c r="AA400">
        <v>0</v>
      </c>
      <c r="AB400">
        <v>0</v>
      </c>
      <c r="AC400">
        <v>0</v>
      </c>
      <c r="AD400">
        <v>1</v>
      </c>
      <c r="AE400">
        <v>0</v>
      </c>
      <c r="AF400" t="s">
        <v>51</v>
      </c>
      <c r="AG400">
        <v>0.375</v>
      </c>
      <c r="AH400">
        <v>2</v>
      </c>
      <c r="AI400">
        <v>54021111</v>
      </c>
      <c r="AJ400">
        <v>286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</row>
    <row r="401" spans="1:44" x14ac:dyDescent="0.2">
      <c r="A401">
        <f>ROW(Source!A267)</f>
        <v>267</v>
      </c>
      <c r="B401">
        <v>54021124</v>
      </c>
      <c r="C401">
        <v>54021107</v>
      </c>
      <c r="D401">
        <v>29507683</v>
      </c>
      <c r="E401">
        <v>29506949</v>
      </c>
      <c r="F401">
        <v>1</v>
      </c>
      <c r="G401">
        <v>29506949</v>
      </c>
      <c r="H401">
        <v>2</v>
      </c>
      <c r="I401" t="s">
        <v>641</v>
      </c>
      <c r="J401" t="s">
        <v>3</v>
      </c>
      <c r="K401" t="s">
        <v>642</v>
      </c>
      <c r="L401">
        <v>1344</v>
      </c>
      <c r="N401">
        <v>1008</v>
      </c>
      <c r="O401" t="s">
        <v>643</v>
      </c>
      <c r="P401" t="s">
        <v>643</v>
      </c>
      <c r="Q401">
        <v>1</v>
      </c>
      <c r="X401">
        <v>0.02</v>
      </c>
      <c r="Y401">
        <v>0</v>
      </c>
      <c r="Z401">
        <v>1</v>
      </c>
      <c r="AA401">
        <v>0</v>
      </c>
      <c r="AB401">
        <v>0</v>
      </c>
      <c r="AC401">
        <v>0</v>
      </c>
      <c r="AD401">
        <v>1</v>
      </c>
      <c r="AE401">
        <v>0</v>
      </c>
      <c r="AF401" t="s">
        <v>51</v>
      </c>
      <c r="AG401">
        <v>2.5000000000000001E-2</v>
      </c>
      <c r="AH401">
        <v>2</v>
      </c>
      <c r="AI401">
        <v>54021112</v>
      </c>
      <c r="AJ401">
        <v>287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</row>
    <row r="402" spans="1:44" x14ac:dyDescent="0.2">
      <c r="A402">
        <f>ROW(Source!A267)</f>
        <v>267</v>
      </c>
      <c r="B402">
        <v>54021125</v>
      </c>
      <c r="C402">
        <v>54021107</v>
      </c>
      <c r="D402">
        <v>29557702</v>
      </c>
      <c r="E402">
        <v>1</v>
      </c>
      <c r="F402">
        <v>1</v>
      </c>
      <c r="G402">
        <v>29506949</v>
      </c>
      <c r="H402">
        <v>3</v>
      </c>
      <c r="I402" t="s">
        <v>811</v>
      </c>
      <c r="J402" t="s">
        <v>812</v>
      </c>
      <c r="K402" t="s">
        <v>813</v>
      </c>
      <c r="L402">
        <v>1296</v>
      </c>
      <c r="N402">
        <v>1002</v>
      </c>
      <c r="O402" t="s">
        <v>154</v>
      </c>
      <c r="P402" t="s">
        <v>154</v>
      </c>
      <c r="Q402">
        <v>1</v>
      </c>
      <c r="X402">
        <v>2.6</v>
      </c>
      <c r="Y402">
        <v>177.8</v>
      </c>
      <c r="Z402">
        <v>0</v>
      </c>
      <c r="AA402">
        <v>0</v>
      </c>
      <c r="AB402">
        <v>0</v>
      </c>
      <c r="AC402">
        <v>0</v>
      </c>
      <c r="AD402">
        <v>1</v>
      </c>
      <c r="AE402">
        <v>0</v>
      </c>
      <c r="AF402" t="s">
        <v>3</v>
      </c>
      <c r="AG402">
        <v>2.6</v>
      </c>
      <c r="AH402">
        <v>2</v>
      </c>
      <c r="AI402">
        <v>54021113</v>
      </c>
      <c r="AJ402">
        <v>288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</row>
    <row r="403" spans="1:44" x14ac:dyDescent="0.2">
      <c r="A403">
        <f>ROW(Source!A267)</f>
        <v>267</v>
      </c>
      <c r="B403">
        <v>54021126</v>
      </c>
      <c r="C403">
        <v>54021107</v>
      </c>
      <c r="D403">
        <v>29558646</v>
      </c>
      <c r="E403">
        <v>1</v>
      </c>
      <c r="F403">
        <v>1</v>
      </c>
      <c r="G403">
        <v>29506949</v>
      </c>
      <c r="H403">
        <v>3</v>
      </c>
      <c r="I403" t="s">
        <v>814</v>
      </c>
      <c r="J403" t="s">
        <v>815</v>
      </c>
      <c r="K403" t="s">
        <v>816</v>
      </c>
      <c r="L403">
        <v>1296</v>
      </c>
      <c r="N403">
        <v>1002</v>
      </c>
      <c r="O403" t="s">
        <v>154</v>
      </c>
      <c r="P403" t="s">
        <v>154</v>
      </c>
      <c r="Q403">
        <v>1</v>
      </c>
      <c r="X403">
        <v>6.1</v>
      </c>
      <c r="Y403">
        <v>125.73</v>
      </c>
      <c r="Z403">
        <v>0</v>
      </c>
      <c r="AA403">
        <v>0</v>
      </c>
      <c r="AB403">
        <v>0</v>
      </c>
      <c r="AC403">
        <v>0</v>
      </c>
      <c r="AD403">
        <v>1</v>
      </c>
      <c r="AE403">
        <v>0</v>
      </c>
      <c r="AF403" t="s">
        <v>3</v>
      </c>
      <c r="AG403">
        <v>6.1</v>
      </c>
      <c r="AH403">
        <v>2</v>
      </c>
      <c r="AI403">
        <v>54021114</v>
      </c>
      <c r="AJ403">
        <v>289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</row>
    <row r="404" spans="1:44" x14ac:dyDescent="0.2">
      <c r="A404">
        <f>ROW(Source!A267)</f>
        <v>267</v>
      </c>
      <c r="B404">
        <v>54021127</v>
      </c>
      <c r="C404">
        <v>54021107</v>
      </c>
      <c r="D404">
        <v>29555566</v>
      </c>
      <c r="E404">
        <v>1</v>
      </c>
      <c r="F404">
        <v>1</v>
      </c>
      <c r="G404">
        <v>29506949</v>
      </c>
      <c r="H404">
        <v>3</v>
      </c>
      <c r="I404" t="s">
        <v>817</v>
      </c>
      <c r="J404" t="s">
        <v>818</v>
      </c>
      <c r="K404" t="s">
        <v>819</v>
      </c>
      <c r="L404">
        <v>1339</v>
      </c>
      <c r="N404">
        <v>1007</v>
      </c>
      <c r="O404" t="s">
        <v>70</v>
      </c>
      <c r="P404" t="s">
        <v>70</v>
      </c>
      <c r="Q404">
        <v>1</v>
      </c>
      <c r="X404">
        <v>1.6000000000000001E-3</v>
      </c>
      <c r="Y404">
        <v>2472.13</v>
      </c>
      <c r="Z404">
        <v>0</v>
      </c>
      <c r="AA404">
        <v>0</v>
      </c>
      <c r="AB404">
        <v>0</v>
      </c>
      <c r="AC404">
        <v>0</v>
      </c>
      <c r="AD404">
        <v>1</v>
      </c>
      <c r="AE404">
        <v>0</v>
      </c>
      <c r="AF404" t="s">
        <v>3</v>
      </c>
      <c r="AG404">
        <v>1.6000000000000001E-3</v>
      </c>
      <c r="AH404">
        <v>2</v>
      </c>
      <c r="AI404">
        <v>54021115</v>
      </c>
      <c r="AJ404">
        <v>290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</row>
    <row r="405" spans="1:44" x14ac:dyDescent="0.2">
      <c r="A405">
        <f>ROW(Source!A267)</f>
        <v>267</v>
      </c>
      <c r="B405">
        <v>54021128</v>
      </c>
      <c r="C405">
        <v>54021107</v>
      </c>
      <c r="D405">
        <v>29574109</v>
      </c>
      <c r="E405">
        <v>1</v>
      </c>
      <c r="F405">
        <v>1</v>
      </c>
      <c r="G405">
        <v>29506949</v>
      </c>
      <c r="H405">
        <v>3</v>
      </c>
      <c r="I405" t="s">
        <v>414</v>
      </c>
      <c r="J405" t="s">
        <v>416</v>
      </c>
      <c r="K405" t="s">
        <v>415</v>
      </c>
      <c r="L405">
        <v>1339</v>
      </c>
      <c r="N405">
        <v>1007</v>
      </c>
      <c r="O405" t="s">
        <v>70</v>
      </c>
      <c r="P405" t="s">
        <v>70</v>
      </c>
      <c r="Q405">
        <v>1</v>
      </c>
      <c r="X405">
        <v>0.01</v>
      </c>
      <c r="Y405">
        <v>478.96</v>
      </c>
      <c r="Z405">
        <v>0</v>
      </c>
      <c r="AA405">
        <v>0</v>
      </c>
      <c r="AB405">
        <v>0</v>
      </c>
      <c r="AC405">
        <v>0</v>
      </c>
      <c r="AD405">
        <v>1</v>
      </c>
      <c r="AE405">
        <v>0</v>
      </c>
      <c r="AF405" t="s">
        <v>3</v>
      </c>
      <c r="AG405">
        <v>0.01</v>
      </c>
      <c r="AH405">
        <v>2</v>
      </c>
      <c r="AI405">
        <v>54021116</v>
      </c>
      <c r="AJ405">
        <v>291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</row>
    <row r="406" spans="1:44" x14ac:dyDescent="0.2">
      <c r="A406">
        <f>ROW(Source!A267)</f>
        <v>267</v>
      </c>
      <c r="B406">
        <v>54021129</v>
      </c>
      <c r="C406">
        <v>54021107</v>
      </c>
      <c r="D406">
        <v>31659018</v>
      </c>
      <c r="E406">
        <v>1</v>
      </c>
      <c r="F406">
        <v>1</v>
      </c>
      <c r="G406">
        <v>29506949</v>
      </c>
      <c r="H406">
        <v>3</v>
      </c>
      <c r="I406" t="s">
        <v>820</v>
      </c>
      <c r="J406" t="s">
        <v>821</v>
      </c>
      <c r="K406" t="s">
        <v>822</v>
      </c>
      <c r="L406">
        <v>1354</v>
      </c>
      <c r="N406">
        <v>1010</v>
      </c>
      <c r="O406" t="s">
        <v>536</v>
      </c>
      <c r="P406" t="s">
        <v>536</v>
      </c>
      <c r="Q406">
        <v>1</v>
      </c>
      <c r="X406">
        <v>0.6</v>
      </c>
      <c r="Y406">
        <v>14.23</v>
      </c>
      <c r="Z406">
        <v>0</v>
      </c>
      <c r="AA406">
        <v>0</v>
      </c>
      <c r="AB406">
        <v>0</v>
      </c>
      <c r="AC406">
        <v>0</v>
      </c>
      <c r="AD406">
        <v>1</v>
      </c>
      <c r="AE406">
        <v>0</v>
      </c>
      <c r="AF406" t="s">
        <v>3</v>
      </c>
      <c r="AG406">
        <v>0.6</v>
      </c>
      <c r="AH406">
        <v>2</v>
      </c>
      <c r="AI406">
        <v>54021118</v>
      </c>
      <c r="AJ406">
        <v>293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</row>
    <row r="407" spans="1:44" x14ac:dyDescent="0.2">
      <c r="A407">
        <f>ROW(Source!A267)</f>
        <v>267</v>
      </c>
      <c r="B407">
        <v>54021130</v>
      </c>
      <c r="C407">
        <v>54021107</v>
      </c>
      <c r="D407">
        <v>29577956</v>
      </c>
      <c r="E407">
        <v>1</v>
      </c>
      <c r="F407">
        <v>1</v>
      </c>
      <c r="G407">
        <v>29506949</v>
      </c>
      <c r="H407">
        <v>3</v>
      </c>
      <c r="I407" t="s">
        <v>823</v>
      </c>
      <c r="J407" t="s">
        <v>824</v>
      </c>
      <c r="K407" t="s">
        <v>825</v>
      </c>
      <c r="L407">
        <v>1354</v>
      </c>
      <c r="N407">
        <v>1010</v>
      </c>
      <c r="O407" t="s">
        <v>536</v>
      </c>
      <c r="P407" t="s">
        <v>536</v>
      </c>
      <c r="Q407">
        <v>1</v>
      </c>
      <c r="X407">
        <v>60</v>
      </c>
      <c r="Y407">
        <v>25.33</v>
      </c>
      <c r="Z407">
        <v>0</v>
      </c>
      <c r="AA407">
        <v>0</v>
      </c>
      <c r="AB407">
        <v>0</v>
      </c>
      <c r="AC407">
        <v>0</v>
      </c>
      <c r="AD407">
        <v>1</v>
      </c>
      <c r="AE407">
        <v>0</v>
      </c>
      <c r="AF407" t="s">
        <v>3</v>
      </c>
      <c r="AG407">
        <v>60</v>
      </c>
      <c r="AH407">
        <v>2</v>
      </c>
      <c r="AI407">
        <v>54021119</v>
      </c>
      <c r="AJ407">
        <v>294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</row>
    <row r="408" spans="1:44" x14ac:dyDescent="0.2">
      <c r="A408">
        <f>ROW(Source!A267)</f>
        <v>267</v>
      </c>
      <c r="B408">
        <v>54021131</v>
      </c>
      <c r="C408">
        <v>54021107</v>
      </c>
      <c r="D408">
        <v>29529678</v>
      </c>
      <c r="E408">
        <v>29506949</v>
      </c>
      <c r="F408">
        <v>1</v>
      </c>
      <c r="G408">
        <v>29506949</v>
      </c>
      <c r="H408">
        <v>3</v>
      </c>
      <c r="I408" t="s">
        <v>960</v>
      </c>
      <c r="J408" t="s">
        <v>3</v>
      </c>
      <c r="K408" t="s">
        <v>961</v>
      </c>
      <c r="L408">
        <v>1354</v>
      </c>
      <c r="N408">
        <v>1010</v>
      </c>
      <c r="O408" t="s">
        <v>536</v>
      </c>
      <c r="P408" t="s">
        <v>536</v>
      </c>
      <c r="Q408">
        <v>1</v>
      </c>
      <c r="X408">
        <v>10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 t="s">
        <v>3</v>
      </c>
      <c r="AG408">
        <v>10</v>
      </c>
      <c r="AH408">
        <v>3</v>
      </c>
      <c r="AI408">
        <v>-1</v>
      </c>
      <c r="AJ408" t="s">
        <v>3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</row>
    <row r="409" spans="1:44" x14ac:dyDescent="0.2">
      <c r="A409">
        <f>ROW(Source!A269)</f>
        <v>269</v>
      </c>
      <c r="B409">
        <v>54021141</v>
      </c>
      <c r="C409">
        <v>54021133</v>
      </c>
      <c r="D409">
        <v>29506954</v>
      </c>
      <c r="E409">
        <v>29506949</v>
      </c>
      <c r="F409">
        <v>1</v>
      </c>
      <c r="G409">
        <v>29506949</v>
      </c>
      <c r="H409">
        <v>1</v>
      </c>
      <c r="I409" t="s">
        <v>638</v>
      </c>
      <c r="J409" t="s">
        <v>3</v>
      </c>
      <c r="K409" t="s">
        <v>639</v>
      </c>
      <c r="L409">
        <v>1191</v>
      </c>
      <c r="N409">
        <v>1013</v>
      </c>
      <c r="O409" t="s">
        <v>640</v>
      </c>
      <c r="P409" t="s">
        <v>640</v>
      </c>
      <c r="Q409">
        <v>1</v>
      </c>
      <c r="X409">
        <v>1.1100000000000001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1</v>
      </c>
      <c r="AE409">
        <v>1</v>
      </c>
      <c r="AF409" t="s">
        <v>52</v>
      </c>
      <c r="AG409">
        <v>1.2765</v>
      </c>
      <c r="AH409">
        <v>2</v>
      </c>
      <c r="AI409">
        <v>54021134</v>
      </c>
      <c r="AJ409">
        <v>295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</row>
    <row r="410" spans="1:44" x14ac:dyDescent="0.2">
      <c r="A410">
        <f>ROW(Source!A269)</f>
        <v>269</v>
      </c>
      <c r="B410">
        <v>54021142</v>
      </c>
      <c r="C410">
        <v>54021133</v>
      </c>
      <c r="D410">
        <v>29580208</v>
      </c>
      <c r="E410">
        <v>1</v>
      </c>
      <c r="F410">
        <v>1</v>
      </c>
      <c r="G410">
        <v>29506949</v>
      </c>
      <c r="H410">
        <v>2</v>
      </c>
      <c r="I410" t="s">
        <v>826</v>
      </c>
      <c r="J410" t="s">
        <v>827</v>
      </c>
      <c r="K410" t="s">
        <v>828</v>
      </c>
      <c r="L410">
        <v>1368</v>
      </c>
      <c r="N410">
        <v>1011</v>
      </c>
      <c r="O410" t="s">
        <v>647</v>
      </c>
      <c r="P410" t="s">
        <v>647</v>
      </c>
      <c r="Q410">
        <v>1</v>
      </c>
      <c r="X410">
        <v>0.26</v>
      </c>
      <c r="Y410">
        <v>0</v>
      </c>
      <c r="Z410">
        <v>7.11</v>
      </c>
      <c r="AA410">
        <v>0</v>
      </c>
      <c r="AB410">
        <v>0</v>
      </c>
      <c r="AC410">
        <v>0</v>
      </c>
      <c r="AD410">
        <v>1</v>
      </c>
      <c r="AE410">
        <v>0</v>
      </c>
      <c r="AF410" t="s">
        <v>51</v>
      </c>
      <c r="AG410">
        <v>0.32500000000000001</v>
      </c>
      <c r="AH410">
        <v>2</v>
      </c>
      <c r="AI410">
        <v>54021135</v>
      </c>
      <c r="AJ410">
        <v>296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</row>
    <row r="411" spans="1:44" x14ac:dyDescent="0.2">
      <c r="A411">
        <f>ROW(Source!A269)</f>
        <v>269</v>
      </c>
      <c r="B411">
        <v>54021143</v>
      </c>
      <c r="C411">
        <v>54021133</v>
      </c>
      <c r="D411">
        <v>29580613</v>
      </c>
      <c r="E411">
        <v>1</v>
      </c>
      <c r="F411">
        <v>1</v>
      </c>
      <c r="G411">
        <v>29506949</v>
      </c>
      <c r="H411">
        <v>2</v>
      </c>
      <c r="I411" t="s">
        <v>769</v>
      </c>
      <c r="J411" t="s">
        <v>770</v>
      </c>
      <c r="K411" t="s">
        <v>771</v>
      </c>
      <c r="L411">
        <v>1368</v>
      </c>
      <c r="N411">
        <v>1011</v>
      </c>
      <c r="O411" t="s">
        <v>647</v>
      </c>
      <c r="P411" t="s">
        <v>647</v>
      </c>
      <c r="Q411">
        <v>1</v>
      </c>
      <c r="X411">
        <v>0.11</v>
      </c>
      <c r="Y411">
        <v>0</v>
      </c>
      <c r="Z411">
        <v>0.8</v>
      </c>
      <c r="AA411">
        <v>0</v>
      </c>
      <c r="AB411">
        <v>0</v>
      </c>
      <c r="AC411">
        <v>0</v>
      </c>
      <c r="AD411">
        <v>1</v>
      </c>
      <c r="AE411">
        <v>0</v>
      </c>
      <c r="AF411" t="s">
        <v>51</v>
      </c>
      <c r="AG411">
        <v>0.13750000000000001</v>
      </c>
      <c r="AH411">
        <v>2</v>
      </c>
      <c r="AI411">
        <v>54021136</v>
      </c>
      <c r="AJ411">
        <v>297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</row>
    <row r="412" spans="1:44" x14ac:dyDescent="0.2">
      <c r="A412">
        <f>ROW(Source!A269)</f>
        <v>269</v>
      </c>
      <c r="B412">
        <v>54021144</v>
      </c>
      <c r="C412">
        <v>54021133</v>
      </c>
      <c r="D412">
        <v>29580537</v>
      </c>
      <c r="E412">
        <v>1</v>
      </c>
      <c r="F412">
        <v>1</v>
      </c>
      <c r="G412">
        <v>29506949</v>
      </c>
      <c r="H412">
        <v>2</v>
      </c>
      <c r="I412" t="s">
        <v>829</v>
      </c>
      <c r="J412" t="s">
        <v>830</v>
      </c>
      <c r="K412" t="s">
        <v>831</v>
      </c>
      <c r="L412">
        <v>1368</v>
      </c>
      <c r="N412">
        <v>1011</v>
      </c>
      <c r="O412" t="s">
        <v>647</v>
      </c>
      <c r="P412" t="s">
        <v>647</v>
      </c>
      <c r="Q412">
        <v>1</v>
      </c>
      <c r="X412">
        <v>0.02</v>
      </c>
      <c r="Y412">
        <v>0</v>
      </c>
      <c r="Z412">
        <v>0.42</v>
      </c>
      <c r="AA412">
        <v>0</v>
      </c>
      <c r="AB412">
        <v>0</v>
      </c>
      <c r="AC412">
        <v>0</v>
      </c>
      <c r="AD412">
        <v>1</v>
      </c>
      <c r="AE412">
        <v>0</v>
      </c>
      <c r="AF412" t="s">
        <v>51</v>
      </c>
      <c r="AG412">
        <v>2.5000000000000001E-2</v>
      </c>
      <c r="AH412">
        <v>2</v>
      </c>
      <c r="AI412">
        <v>54021137</v>
      </c>
      <c r="AJ412">
        <v>298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</row>
    <row r="413" spans="1:44" x14ac:dyDescent="0.2">
      <c r="A413">
        <f>ROW(Source!A269)</f>
        <v>269</v>
      </c>
      <c r="B413">
        <v>54021145</v>
      </c>
      <c r="C413">
        <v>54021133</v>
      </c>
      <c r="D413">
        <v>29580571</v>
      </c>
      <c r="E413">
        <v>1</v>
      </c>
      <c r="F413">
        <v>1</v>
      </c>
      <c r="G413">
        <v>29506949</v>
      </c>
      <c r="H413">
        <v>2</v>
      </c>
      <c r="I413" t="s">
        <v>644</v>
      </c>
      <c r="J413" t="s">
        <v>645</v>
      </c>
      <c r="K413" t="s">
        <v>646</v>
      </c>
      <c r="L413">
        <v>1368</v>
      </c>
      <c r="N413">
        <v>1011</v>
      </c>
      <c r="O413" t="s">
        <v>647</v>
      </c>
      <c r="P413" t="s">
        <v>647</v>
      </c>
      <c r="Q413">
        <v>1</v>
      </c>
      <c r="X413">
        <v>0.15</v>
      </c>
      <c r="Y413">
        <v>0</v>
      </c>
      <c r="Z413">
        <v>0.47</v>
      </c>
      <c r="AA413">
        <v>0</v>
      </c>
      <c r="AB413">
        <v>0</v>
      </c>
      <c r="AC413">
        <v>0</v>
      </c>
      <c r="AD413">
        <v>1</v>
      </c>
      <c r="AE413">
        <v>0</v>
      </c>
      <c r="AF413" t="s">
        <v>51</v>
      </c>
      <c r="AG413">
        <v>0.1875</v>
      </c>
      <c r="AH413">
        <v>2</v>
      </c>
      <c r="AI413">
        <v>54021138</v>
      </c>
      <c r="AJ413">
        <v>299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</row>
    <row r="414" spans="1:44" x14ac:dyDescent="0.2">
      <c r="A414">
        <f>ROW(Source!A269)</f>
        <v>269</v>
      </c>
      <c r="B414">
        <v>54021146</v>
      </c>
      <c r="C414">
        <v>54021133</v>
      </c>
      <c r="D414">
        <v>29557846</v>
      </c>
      <c r="E414">
        <v>1</v>
      </c>
      <c r="F414">
        <v>1</v>
      </c>
      <c r="G414">
        <v>29506949</v>
      </c>
      <c r="H414">
        <v>3</v>
      </c>
      <c r="I414" t="s">
        <v>832</v>
      </c>
      <c r="J414" t="s">
        <v>833</v>
      </c>
      <c r="K414" t="s">
        <v>834</v>
      </c>
      <c r="L414">
        <v>1346</v>
      </c>
      <c r="N414">
        <v>1009</v>
      </c>
      <c r="O414" t="s">
        <v>58</v>
      </c>
      <c r="P414" t="s">
        <v>58</v>
      </c>
      <c r="Q414">
        <v>1</v>
      </c>
      <c r="X414">
        <v>0.02</v>
      </c>
      <c r="Y414">
        <v>20.63</v>
      </c>
      <c r="Z414">
        <v>0</v>
      </c>
      <c r="AA414">
        <v>0</v>
      </c>
      <c r="AB414">
        <v>0</v>
      </c>
      <c r="AC414">
        <v>0</v>
      </c>
      <c r="AD414">
        <v>1</v>
      </c>
      <c r="AE414">
        <v>0</v>
      </c>
      <c r="AF414" t="s">
        <v>3</v>
      </c>
      <c r="AG414">
        <v>0.02</v>
      </c>
      <c r="AH414">
        <v>2</v>
      </c>
      <c r="AI414">
        <v>54021139</v>
      </c>
      <c r="AJ414">
        <v>300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</row>
    <row r="415" spans="1:44" x14ac:dyDescent="0.2">
      <c r="A415">
        <f>ROW(Source!A269)</f>
        <v>269</v>
      </c>
      <c r="B415">
        <v>54021147</v>
      </c>
      <c r="C415">
        <v>54021133</v>
      </c>
      <c r="D415">
        <v>31658420</v>
      </c>
      <c r="E415">
        <v>29506949</v>
      </c>
      <c r="F415">
        <v>1</v>
      </c>
      <c r="G415">
        <v>29506949</v>
      </c>
      <c r="H415">
        <v>3</v>
      </c>
      <c r="I415" t="s">
        <v>962</v>
      </c>
      <c r="J415" t="s">
        <v>3</v>
      </c>
      <c r="K415" t="s">
        <v>963</v>
      </c>
      <c r="L415">
        <v>1354</v>
      </c>
      <c r="N415">
        <v>1010</v>
      </c>
      <c r="O415" t="s">
        <v>536</v>
      </c>
      <c r="P415" t="s">
        <v>536</v>
      </c>
      <c r="Q415">
        <v>1</v>
      </c>
      <c r="X415">
        <v>1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 t="s">
        <v>3</v>
      </c>
      <c r="AG415">
        <v>1</v>
      </c>
      <c r="AH415">
        <v>3</v>
      </c>
      <c r="AI415">
        <v>-1</v>
      </c>
      <c r="AJ415" t="s">
        <v>3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</row>
    <row r="416" spans="1:44" x14ac:dyDescent="0.2">
      <c r="A416">
        <f>ROW(Source!A271)</f>
        <v>271</v>
      </c>
      <c r="B416">
        <v>54021153</v>
      </c>
      <c r="C416">
        <v>54021149</v>
      </c>
      <c r="D416">
        <v>29506954</v>
      </c>
      <c r="E416">
        <v>29506949</v>
      </c>
      <c r="F416">
        <v>1</v>
      </c>
      <c r="G416">
        <v>29506949</v>
      </c>
      <c r="H416">
        <v>1</v>
      </c>
      <c r="I416" t="s">
        <v>638</v>
      </c>
      <c r="J416" t="s">
        <v>3</v>
      </c>
      <c r="K416" t="s">
        <v>639</v>
      </c>
      <c r="L416">
        <v>1191</v>
      </c>
      <c r="N416">
        <v>1013</v>
      </c>
      <c r="O416" t="s">
        <v>640</v>
      </c>
      <c r="P416" t="s">
        <v>640</v>
      </c>
      <c r="Q416">
        <v>1</v>
      </c>
      <c r="X416">
        <v>385.2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1</v>
      </c>
      <c r="AE416">
        <v>1</v>
      </c>
      <c r="AF416" t="s">
        <v>3</v>
      </c>
      <c r="AG416">
        <v>385.2</v>
      </c>
      <c r="AH416">
        <v>2</v>
      </c>
      <c r="AI416">
        <v>54021150</v>
      </c>
      <c r="AJ416">
        <v>302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</row>
    <row r="417" spans="1:44" x14ac:dyDescent="0.2">
      <c r="A417">
        <f>ROW(Source!A271)</f>
        <v>271</v>
      </c>
      <c r="B417">
        <v>54021154</v>
      </c>
      <c r="C417">
        <v>54021149</v>
      </c>
      <c r="D417">
        <v>29519950</v>
      </c>
      <c r="E417">
        <v>29506949</v>
      </c>
      <c r="F417">
        <v>1</v>
      </c>
      <c r="G417">
        <v>29506949</v>
      </c>
      <c r="H417">
        <v>3</v>
      </c>
      <c r="I417" t="s">
        <v>855</v>
      </c>
      <c r="J417" t="s">
        <v>3</v>
      </c>
      <c r="K417" t="s">
        <v>964</v>
      </c>
      <c r="L417">
        <v>1339</v>
      </c>
      <c r="N417">
        <v>1007</v>
      </c>
      <c r="O417" t="s">
        <v>70</v>
      </c>
      <c r="P417" t="s">
        <v>70</v>
      </c>
      <c r="Q417">
        <v>1</v>
      </c>
      <c r="X417">
        <v>4.4000000000000004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 t="s">
        <v>3</v>
      </c>
      <c r="AG417">
        <v>4.4000000000000004</v>
      </c>
      <c r="AH417">
        <v>3</v>
      </c>
      <c r="AI417">
        <v>-1</v>
      </c>
      <c r="AJ417" t="s">
        <v>3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</row>
    <row r="418" spans="1:44" x14ac:dyDescent="0.2">
      <c r="A418">
        <f>ROW(Source!A271)</f>
        <v>271</v>
      </c>
      <c r="B418">
        <v>54021155</v>
      </c>
      <c r="C418">
        <v>54021149</v>
      </c>
      <c r="D418">
        <v>52542855</v>
      </c>
      <c r="E418">
        <v>29506949</v>
      </c>
      <c r="F418">
        <v>1</v>
      </c>
      <c r="G418">
        <v>29506949</v>
      </c>
      <c r="H418">
        <v>3</v>
      </c>
      <c r="I418" t="s">
        <v>648</v>
      </c>
      <c r="J418" t="s">
        <v>3</v>
      </c>
      <c r="K418" t="s">
        <v>649</v>
      </c>
      <c r="L418">
        <v>1348</v>
      </c>
      <c r="N418">
        <v>1009</v>
      </c>
      <c r="O418" t="s">
        <v>75</v>
      </c>
      <c r="P418" t="s">
        <v>75</v>
      </c>
      <c r="Q418">
        <v>1000</v>
      </c>
      <c r="X418">
        <v>8.1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1</v>
      </c>
      <c r="AE418">
        <v>0</v>
      </c>
      <c r="AF418" t="s">
        <v>3</v>
      </c>
      <c r="AG418">
        <v>8.1</v>
      </c>
      <c r="AH418">
        <v>2</v>
      </c>
      <c r="AI418">
        <v>54021152</v>
      </c>
      <c r="AJ418">
        <v>304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</row>
    <row r="419" spans="1:44" x14ac:dyDescent="0.2">
      <c r="A419">
        <f>ROW(Source!A273)</f>
        <v>273</v>
      </c>
      <c r="B419">
        <v>54021165</v>
      </c>
      <c r="C419">
        <v>54021157</v>
      </c>
      <c r="D419">
        <v>29506954</v>
      </c>
      <c r="E419">
        <v>29506949</v>
      </c>
      <c r="F419">
        <v>1</v>
      </c>
      <c r="G419">
        <v>29506949</v>
      </c>
      <c r="H419">
        <v>1</v>
      </c>
      <c r="I419" t="s">
        <v>638</v>
      </c>
      <c r="J419" t="s">
        <v>3</v>
      </c>
      <c r="K419" t="s">
        <v>639</v>
      </c>
      <c r="L419">
        <v>1191</v>
      </c>
      <c r="N419">
        <v>1013</v>
      </c>
      <c r="O419" t="s">
        <v>640</v>
      </c>
      <c r="P419" t="s">
        <v>640</v>
      </c>
      <c r="Q419">
        <v>1</v>
      </c>
      <c r="X419">
        <v>43.56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1</v>
      </c>
      <c r="AE419">
        <v>1</v>
      </c>
      <c r="AF419" t="s">
        <v>52</v>
      </c>
      <c r="AG419">
        <v>50.094000000000001</v>
      </c>
      <c r="AH419">
        <v>2</v>
      </c>
      <c r="AI419">
        <v>54021158</v>
      </c>
      <c r="AJ419">
        <v>305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</row>
    <row r="420" spans="1:44" x14ac:dyDescent="0.2">
      <c r="A420">
        <f>ROW(Source!A273)</f>
        <v>273</v>
      </c>
      <c r="B420">
        <v>54021166</v>
      </c>
      <c r="C420">
        <v>54021157</v>
      </c>
      <c r="D420">
        <v>29580491</v>
      </c>
      <c r="E420">
        <v>1</v>
      </c>
      <c r="F420">
        <v>1</v>
      </c>
      <c r="G420">
        <v>29506949</v>
      </c>
      <c r="H420">
        <v>2</v>
      </c>
      <c r="I420" t="s">
        <v>650</v>
      </c>
      <c r="J420" t="s">
        <v>651</v>
      </c>
      <c r="K420" t="s">
        <v>652</v>
      </c>
      <c r="L420">
        <v>1368</v>
      </c>
      <c r="N420">
        <v>1011</v>
      </c>
      <c r="O420" t="s">
        <v>647</v>
      </c>
      <c r="P420" t="s">
        <v>647</v>
      </c>
      <c r="Q420">
        <v>1</v>
      </c>
      <c r="X420">
        <v>0.15</v>
      </c>
      <c r="Y420">
        <v>0</v>
      </c>
      <c r="Z420">
        <v>83.1</v>
      </c>
      <c r="AA420">
        <v>12.62</v>
      </c>
      <c r="AB420">
        <v>0</v>
      </c>
      <c r="AC420">
        <v>0</v>
      </c>
      <c r="AD420">
        <v>1</v>
      </c>
      <c r="AE420">
        <v>0</v>
      </c>
      <c r="AF420" t="s">
        <v>51</v>
      </c>
      <c r="AG420">
        <v>0.1875</v>
      </c>
      <c r="AH420">
        <v>2</v>
      </c>
      <c r="AI420">
        <v>54021159</v>
      </c>
      <c r="AJ420">
        <v>306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</row>
    <row r="421" spans="1:44" x14ac:dyDescent="0.2">
      <c r="A421">
        <f>ROW(Source!A273)</f>
        <v>273</v>
      </c>
      <c r="B421">
        <v>54021167</v>
      </c>
      <c r="C421">
        <v>54021157</v>
      </c>
      <c r="D421">
        <v>29555595</v>
      </c>
      <c r="E421">
        <v>1</v>
      </c>
      <c r="F421">
        <v>1</v>
      </c>
      <c r="G421">
        <v>29506949</v>
      </c>
      <c r="H421">
        <v>3</v>
      </c>
      <c r="I421" t="s">
        <v>656</v>
      </c>
      <c r="J421" t="s">
        <v>657</v>
      </c>
      <c r="K421" t="s">
        <v>658</v>
      </c>
      <c r="L421">
        <v>1346</v>
      </c>
      <c r="N421">
        <v>1009</v>
      </c>
      <c r="O421" t="s">
        <v>58</v>
      </c>
      <c r="P421" t="s">
        <v>58</v>
      </c>
      <c r="Q421">
        <v>1</v>
      </c>
      <c r="X421">
        <v>0.31</v>
      </c>
      <c r="Y421">
        <v>1.61</v>
      </c>
      <c r="Z421">
        <v>0</v>
      </c>
      <c r="AA421">
        <v>0</v>
      </c>
      <c r="AB421">
        <v>0</v>
      </c>
      <c r="AC421">
        <v>0</v>
      </c>
      <c r="AD421">
        <v>1</v>
      </c>
      <c r="AE421">
        <v>0</v>
      </c>
      <c r="AF421" t="s">
        <v>3</v>
      </c>
      <c r="AG421">
        <v>0.31</v>
      </c>
      <c r="AH421">
        <v>2</v>
      </c>
      <c r="AI421">
        <v>54021160</v>
      </c>
      <c r="AJ421">
        <v>307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</row>
    <row r="422" spans="1:44" x14ac:dyDescent="0.2">
      <c r="A422">
        <f>ROW(Source!A273)</f>
        <v>273</v>
      </c>
      <c r="B422">
        <v>54021168</v>
      </c>
      <c r="C422">
        <v>54021157</v>
      </c>
      <c r="D422">
        <v>29556811</v>
      </c>
      <c r="E422">
        <v>1</v>
      </c>
      <c r="F422">
        <v>1</v>
      </c>
      <c r="G422">
        <v>29506949</v>
      </c>
      <c r="H422">
        <v>3</v>
      </c>
      <c r="I422" t="s">
        <v>659</v>
      </c>
      <c r="J422" t="s">
        <v>660</v>
      </c>
      <c r="K422" t="s">
        <v>661</v>
      </c>
      <c r="L422">
        <v>1327</v>
      </c>
      <c r="N422">
        <v>1005</v>
      </c>
      <c r="O422" t="s">
        <v>100</v>
      </c>
      <c r="P422" t="s">
        <v>100</v>
      </c>
      <c r="Q422">
        <v>1</v>
      </c>
      <c r="X422">
        <v>0.84</v>
      </c>
      <c r="Y422">
        <v>104</v>
      </c>
      <c r="Z422">
        <v>0</v>
      </c>
      <c r="AA422">
        <v>0</v>
      </c>
      <c r="AB422">
        <v>0</v>
      </c>
      <c r="AC422">
        <v>0</v>
      </c>
      <c r="AD422">
        <v>1</v>
      </c>
      <c r="AE422">
        <v>0</v>
      </c>
      <c r="AF422" t="s">
        <v>3</v>
      </c>
      <c r="AG422">
        <v>0.84</v>
      </c>
      <c r="AH422">
        <v>2</v>
      </c>
      <c r="AI422">
        <v>54021161</v>
      </c>
      <c r="AJ422">
        <v>308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</row>
    <row r="423" spans="1:44" x14ac:dyDescent="0.2">
      <c r="A423">
        <f>ROW(Source!A273)</f>
        <v>273</v>
      </c>
      <c r="B423">
        <v>54021169</v>
      </c>
      <c r="C423">
        <v>54021157</v>
      </c>
      <c r="D423">
        <v>29556824</v>
      </c>
      <c r="E423">
        <v>1</v>
      </c>
      <c r="F423">
        <v>1</v>
      </c>
      <c r="G423">
        <v>29506949</v>
      </c>
      <c r="H423">
        <v>3</v>
      </c>
      <c r="I423" t="s">
        <v>662</v>
      </c>
      <c r="J423" t="s">
        <v>663</v>
      </c>
      <c r="K423" t="s">
        <v>664</v>
      </c>
      <c r="L423">
        <v>1348</v>
      </c>
      <c r="N423">
        <v>1009</v>
      </c>
      <c r="O423" t="s">
        <v>75</v>
      </c>
      <c r="P423" t="s">
        <v>75</v>
      </c>
      <c r="Q423">
        <v>1000</v>
      </c>
      <c r="X423">
        <v>5.0999999999999997E-2</v>
      </c>
      <c r="Y423">
        <v>13953.6</v>
      </c>
      <c r="Z423">
        <v>0</v>
      </c>
      <c r="AA423">
        <v>0</v>
      </c>
      <c r="AB423">
        <v>0</v>
      </c>
      <c r="AC423">
        <v>0</v>
      </c>
      <c r="AD423">
        <v>1</v>
      </c>
      <c r="AE423">
        <v>0</v>
      </c>
      <c r="AF423" t="s">
        <v>3</v>
      </c>
      <c r="AG423">
        <v>5.0999999999999997E-2</v>
      </c>
      <c r="AH423">
        <v>2</v>
      </c>
      <c r="AI423">
        <v>54021162</v>
      </c>
      <c r="AJ423">
        <v>309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</row>
    <row r="424" spans="1:44" x14ac:dyDescent="0.2">
      <c r="A424">
        <f>ROW(Source!A273)</f>
        <v>273</v>
      </c>
      <c r="B424">
        <v>54021170</v>
      </c>
      <c r="C424">
        <v>54021157</v>
      </c>
      <c r="D424">
        <v>29522565</v>
      </c>
      <c r="E424">
        <v>29506949</v>
      </c>
      <c r="F424">
        <v>1</v>
      </c>
      <c r="G424">
        <v>29506949</v>
      </c>
      <c r="H424">
        <v>3</v>
      </c>
      <c r="I424" t="s">
        <v>850</v>
      </c>
      <c r="J424" t="s">
        <v>3</v>
      </c>
      <c r="K424" t="s">
        <v>851</v>
      </c>
      <c r="L424">
        <v>1348</v>
      </c>
      <c r="N424">
        <v>1009</v>
      </c>
      <c r="O424" t="s">
        <v>75</v>
      </c>
      <c r="P424" t="s">
        <v>75</v>
      </c>
      <c r="Q424">
        <v>1000</v>
      </c>
      <c r="X424">
        <v>0.02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 t="s">
        <v>3</v>
      </c>
      <c r="AG424">
        <v>0.02</v>
      </c>
      <c r="AH424">
        <v>3</v>
      </c>
      <c r="AI424">
        <v>-1</v>
      </c>
      <c r="AJ424" t="s">
        <v>3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</row>
    <row r="425" spans="1:44" x14ac:dyDescent="0.2">
      <c r="A425">
        <f>ROW(Source!A273)</f>
        <v>273</v>
      </c>
      <c r="B425">
        <v>54021171</v>
      </c>
      <c r="C425">
        <v>54021157</v>
      </c>
      <c r="D425">
        <v>29520951</v>
      </c>
      <c r="E425">
        <v>29506949</v>
      </c>
      <c r="F425">
        <v>1</v>
      </c>
      <c r="G425">
        <v>29506949</v>
      </c>
      <c r="H425">
        <v>3</v>
      </c>
      <c r="I425" t="s">
        <v>857</v>
      </c>
      <c r="J425" t="s">
        <v>3</v>
      </c>
      <c r="K425" t="s">
        <v>870</v>
      </c>
      <c r="L425">
        <v>1346</v>
      </c>
      <c r="N425">
        <v>1009</v>
      </c>
      <c r="O425" t="s">
        <v>58</v>
      </c>
      <c r="P425" t="s">
        <v>58</v>
      </c>
      <c r="Q425">
        <v>1</v>
      </c>
      <c r="X425">
        <v>30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 t="s">
        <v>3</v>
      </c>
      <c r="AG425">
        <v>30</v>
      </c>
      <c r="AH425">
        <v>3</v>
      </c>
      <c r="AI425">
        <v>-1</v>
      </c>
      <c r="AJ425" t="s">
        <v>3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</row>
    <row r="426" spans="1:44" x14ac:dyDescent="0.2">
      <c r="A426">
        <f>ROW(Source!A311)</f>
        <v>311</v>
      </c>
      <c r="B426">
        <v>54046350</v>
      </c>
      <c r="C426">
        <v>54046348</v>
      </c>
      <c r="D426">
        <v>29506954</v>
      </c>
      <c r="E426">
        <v>29506949</v>
      </c>
      <c r="F426">
        <v>1</v>
      </c>
      <c r="G426">
        <v>29506949</v>
      </c>
      <c r="H426">
        <v>1</v>
      </c>
      <c r="I426" t="s">
        <v>638</v>
      </c>
      <c r="J426" t="s">
        <v>3</v>
      </c>
      <c r="K426" t="s">
        <v>639</v>
      </c>
      <c r="L426">
        <v>1191</v>
      </c>
      <c r="N426">
        <v>1013</v>
      </c>
      <c r="O426" t="s">
        <v>640</v>
      </c>
      <c r="P426" t="s">
        <v>640</v>
      </c>
      <c r="Q426">
        <v>1</v>
      </c>
      <c r="X426">
        <v>165.39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1</v>
      </c>
      <c r="AE426">
        <v>1</v>
      </c>
      <c r="AF426" t="s">
        <v>3</v>
      </c>
      <c r="AG426">
        <v>165.39</v>
      </c>
      <c r="AH426">
        <v>2</v>
      </c>
      <c r="AI426">
        <v>54046349</v>
      </c>
      <c r="AJ426">
        <v>312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</row>
    <row r="427" spans="1:44" x14ac:dyDescent="0.2">
      <c r="A427">
        <f>ROW(Source!A312)</f>
        <v>312</v>
      </c>
      <c r="B427">
        <v>54046363</v>
      </c>
      <c r="C427">
        <v>54046351</v>
      </c>
      <c r="D427">
        <v>29506954</v>
      </c>
      <c r="E427">
        <v>29506949</v>
      </c>
      <c r="F427">
        <v>1</v>
      </c>
      <c r="G427">
        <v>29506949</v>
      </c>
      <c r="H427">
        <v>1</v>
      </c>
      <c r="I427" t="s">
        <v>638</v>
      </c>
      <c r="J427" t="s">
        <v>3</v>
      </c>
      <c r="K427" t="s">
        <v>639</v>
      </c>
      <c r="L427">
        <v>1191</v>
      </c>
      <c r="N427">
        <v>1013</v>
      </c>
      <c r="O427" t="s">
        <v>640</v>
      </c>
      <c r="P427" t="s">
        <v>640</v>
      </c>
      <c r="Q427">
        <v>1</v>
      </c>
      <c r="X427">
        <v>214.09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1</v>
      </c>
      <c r="AE427">
        <v>1</v>
      </c>
      <c r="AF427" t="s">
        <v>52</v>
      </c>
      <c r="AG427">
        <v>246.20349999999999</v>
      </c>
      <c r="AH427">
        <v>2</v>
      </c>
      <c r="AI427">
        <v>54046352</v>
      </c>
      <c r="AJ427">
        <v>313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</row>
    <row r="428" spans="1:44" x14ac:dyDescent="0.2">
      <c r="A428">
        <f>ROW(Source!A312)</f>
        <v>312</v>
      </c>
      <c r="B428">
        <v>54046364</v>
      </c>
      <c r="C428">
        <v>54046351</v>
      </c>
      <c r="D428">
        <v>29580491</v>
      </c>
      <c r="E428">
        <v>1</v>
      </c>
      <c r="F428">
        <v>1</v>
      </c>
      <c r="G428">
        <v>29506949</v>
      </c>
      <c r="H428">
        <v>2</v>
      </c>
      <c r="I428" t="s">
        <v>650</v>
      </c>
      <c r="J428" t="s">
        <v>651</v>
      </c>
      <c r="K428" t="s">
        <v>652</v>
      </c>
      <c r="L428">
        <v>1368</v>
      </c>
      <c r="N428">
        <v>1011</v>
      </c>
      <c r="O428" t="s">
        <v>647</v>
      </c>
      <c r="P428" t="s">
        <v>647</v>
      </c>
      <c r="Q428">
        <v>1</v>
      </c>
      <c r="X428">
        <v>3.28</v>
      </c>
      <c r="Y428">
        <v>0</v>
      </c>
      <c r="Z428">
        <v>83.1</v>
      </c>
      <c r="AA428">
        <v>12.62</v>
      </c>
      <c r="AB428">
        <v>0</v>
      </c>
      <c r="AC428">
        <v>0</v>
      </c>
      <c r="AD428">
        <v>1</v>
      </c>
      <c r="AE428">
        <v>0</v>
      </c>
      <c r="AF428" t="s">
        <v>51</v>
      </c>
      <c r="AG428">
        <v>4.0999999999999996</v>
      </c>
      <c r="AH428">
        <v>2</v>
      </c>
      <c r="AI428">
        <v>54046353</v>
      </c>
      <c r="AJ428">
        <v>314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</row>
    <row r="429" spans="1:44" x14ac:dyDescent="0.2">
      <c r="A429">
        <f>ROW(Source!A312)</f>
        <v>312</v>
      </c>
      <c r="B429">
        <v>54046365</v>
      </c>
      <c r="C429">
        <v>54046351</v>
      </c>
      <c r="D429">
        <v>29580529</v>
      </c>
      <c r="E429">
        <v>1</v>
      </c>
      <c r="F429">
        <v>1</v>
      </c>
      <c r="G429">
        <v>29506949</v>
      </c>
      <c r="H429">
        <v>2</v>
      </c>
      <c r="I429" t="s">
        <v>835</v>
      </c>
      <c r="J429" t="s">
        <v>836</v>
      </c>
      <c r="K429" t="s">
        <v>837</v>
      </c>
      <c r="L429">
        <v>1368</v>
      </c>
      <c r="N429">
        <v>1011</v>
      </c>
      <c r="O429" t="s">
        <v>647</v>
      </c>
      <c r="P429" t="s">
        <v>647</v>
      </c>
      <c r="Q429">
        <v>1</v>
      </c>
      <c r="X429">
        <v>35.270000000000003</v>
      </c>
      <c r="Y429">
        <v>0</v>
      </c>
      <c r="Z429">
        <v>0.77</v>
      </c>
      <c r="AA429">
        <v>0</v>
      </c>
      <c r="AB429">
        <v>0</v>
      </c>
      <c r="AC429">
        <v>0</v>
      </c>
      <c r="AD429">
        <v>1</v>
      </c>
      <c r="AE429">
        <v>0</v>
      </c>
      <c r="AF429" t="s">
        <v>51</v>
      </c>
      <c r="AG429">
        <v>44.087500000000006</v>
      </c>
      <c r="AH429">
        <v>2</v>
      </c>
      <c r="AI429">
        <v>54046354</v>
      </c>
      <c r="AJ429">
        <v>315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</row>
    <row r="430" spans="1:44" x14ac:dyDescent="0.2">
      <c r="A430">
        <f>ROW(Source!A312)</f>
        <v>312</v>
      </c>
      <c r="B430">
        <v>54046366</v>
      </c>
      <c r="C430">
        <v>54046351</v>
      </c>
      <c r="D430">
        <v>29580571</v>
      </c>
      <c r="E430">
        <v>1</v>
      </c>
      <c r="F430">
        <v>1</v>
      </c>
      <c r="G430">
        <v>29506949</v>
      </c>
      <c r="H430">
        <v>2</v>
      </c>
      <c r="I430" t="s">
        <v>644</v>
      </c>
      <c r="J430" t="s">
        <v>645</v>
      </c>
      <c r="K430" t="s">
        <v>646</v>
      </c>
      <c r="L430">
        <v>1368</v>
      </c>
      <c r="N430">
        <v>1011</v>
      </c>
      <c r="O430" t="s">
        <v>647</v>
      </c>
      <c r="P430" t="s">
        <v>647</v>
      </c>
      <c r="Q430">
        <v>1</v>
      </c>
      <c r="X430">
        <v>22.89</v>
      </c>
      <c r="Y430">
        <v>0</v>
      </c>
      <c r="Z430">
        <v>0.47</v>
      </c>
      <c r="AA430">
        <v>0</v>
      </c>
      <c r="AB430">
        <v>0</v>
      </c>
      <c r="AC430">
        <v>0</v>
      </c>
      <c r="AD430">
        <v>1</v>
      </c>
      <c r="AE430">
        <v>0</v>
      </c>
      <c r="AF430" t="s">
        <v>51</v>
      </c>
      <c r="AG430">
        <v>28.612500000000001</v>
      </c>
      <c r="AH430">
        <v>2</v>
      </c>
      <c r="AI430">
        <v>54046355</v>
      </c>
      <c r="AJ430">
        <v>316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</row>
    <row r="431" spans="1:44" x14ac:dyDescent="0.2">
      <c r="A431">
        <f>ROW(Source!A312)</f>
        <v>312</v>
      </c>
      <c r="B431">
        <v>54046367</v>
      </c>
      <c r="C431">
        <v>54046351</v>
      </c>
      <c r="D431">
        <v>29507683</v>
      </c>
      <c r="E431">
        <v>29506949</v>
      </c>
      <c r="F431">
        <v>1</v>
      </c>
      <c r="G431">
        <v>29506949</v>
      </c>
      <c r="H431">
        <v>2</v>
      </c>
      <c r="I431" t="s">
        <v>641</v>
      </c>
      <c r="J431" t="s">
        <v>3</v>
      </c>
      <c r="K431" t="s">
        <v>642</v>
      </c>
      <c r="L431">
        <v>1344</v>
      </c>
      <c r="N431">
        <v>1008</v>
      </c>
      <c r="O431" t="s">
        <v>643</v>
      </c>
      <c r="P431" t="s">
        <v>643</v>
      </c>
      <c r="Q431">
        <v>1</v>
      </c>
      <c r="X431">
        <v>0.02</v>
      </c>
      <c r="Y431">
        <v>0</v>
      </c>
      <c r="Z431">
        <v>1</v>
      </c>
      <c r="AA431">
        <v>0</v>
      </c>
      <c r="AB431">
        <v>0</v>
      </c>
      <c r="AC431">
        <v>0</v>
      </c>
      <c r="AD431">
        <v>1</v>
      </c>
      <c r="AE431">
        <v>0</v>
      </c>
      <c r="AF431" t="s">
        <v>51</v>
      </c>
      <c r="AG431">
        <v>2.5000000000000001E-2</v>
      </c>
      <c r="AH431">
        <v>2</v>
      </c>
      <c r="AI431">
        <v>54046356</v>
      </c>
      <c r="AJ431">
        <v>317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</row>
    <row r="432" spans="1:44" x14ac:dyDescent="0.2">
      <c r="A432">
        <f>ROW(Source!A312)</f>
        <v>312</v>
      </c>
      <c r="B432">
        <v>54046368</v>
      </c>
      <c r="C432">
        <v>54046351</v>
      </c>
      <c r="D432">
        <v>29557703</v>
      </c>
      <c r="E432">
        <v>1</v>
      </c>
      <c r="F432">
        <v>1</v>
      </c>
      <c r="G432">
        <v>29506949</v>
      </c>
      <c r="H432">
        <v>3</v>
      </c>
      <c r="I432" t="s">
        <v>838</v>
      </c>
      <c r="J432" t="s">
        <v>839</v>
      </c>
      <c r="K432" t="s">
        <v>840</v>
      </c>
      <c r="L432">
        <v>1354</v>
      </c>
      <c r="N432">
        <v>1010</v>
      </c>
      <c r="O432" t="s">
        <v>536</v>
      </c>
      <c r="P432" t="s">
        <v>536</v>
      </c>
      <c r="Q432">
        <v>1</v>
      </c>
      <c r="X432">
        <v>300</v>
      </c>
      <c r="Y432">
        <v>9.6</v>
      </c>
      <c r="Z432">
        <v>0</v>
      </c>
      <c r="AA432">
        <v>0</v>
      </c>
      <c r="AB432">
        <v>0</v>
      </c>
      <c r="AC432">
        <v>0</v>
      </c>
      <c r="AD432">
        <v>1</v>
      </c>
      <c r="AE432">
        <v>0</v>
      </c>
      <c r="AF432" t="s">
        <v>3</v>
      </c>
      <c r="AG432">
        <v>300</v>
      </c>
      <c r="AH432">
        <v>2</v>
      </c>
      <c r="AI432">
        <v>54046358</v>
      </c>
      <c r="AJ432">
        <v>319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</row>
    <row r="433" spans="1:44" x14ac:dyDescent="0.2">
      <c r="A433">
        <f>ROW(Source!A312)</f>
        <v>312</v>
      </c>
      <c r="B433">
        <v>54046369</v>
      </c>
      <c r="C433">
        <v>54046351</v>
      </c>
      <c r="D433">
        <v>29556153</v>
      </c>
      <c r="E433">
        <v>1</v>
      </c>
      <c r="F433">
        <v>1</v>
      </c>
      <c r="G433">
        <v>29506949</v>
      </c>
      <c r="H433">
        <v>3</v>
      </c>
      <c r="I433" t="s">
        <v>841</v>
      </c>
      <c r="J433" t="s">
        <v>842</v>
      </c>
      <c r="K433" t="s">
        <v>843</v>
      </c>
      <c r="L433">
        <v>1296</v>
      </c>
      <c r="N433">
        <v>1002</v>
      </c>
      <c r="O433" t="s">
        <v>154</v>
      </c>
      <c r="P433" t="s">
        <v>154</v>
      </c>
      <c r="Q433">
        <v>1</v>
      </c>
      <c r="X433">
        <v>85.5</v>
      </c>
      <c r="Y433">
        <v>54.7</v>
      </c>
      <c r="Z433">
        <v>0</v>
      </c>
      <c r="AA433">
        <v>0</v>
      </c>
      <c r="AB433">
        <v>0</v>
      </c>
      <c r="AC433">
        <v>0</v>
      </c>
      <c r="AD433">
        <v>1</v>
      </c>
      <c r="AE433">
        <v>0</v>
      </c>
      <c r="AF433" t="s">
        <v>3</v>
      </c>
      <c r="AG433">
        <v>85.5</v>
      </c>
      <c r="AH433">
        <v>2</v>
      </c>
      <c r="AI433">
        <v>54046361</v>
      </c>
      <c r="AJ433">
        <v>322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</row>
    <row r="434" spans="1:44" x14ac:dyDescent="0.2">
      <c r="A434">
        <f>ROW(Source!A312)</f>
        <v>312</v>
      </c>
      <c r="B434">
        <v>54046370</v>
      </c>
      <c r="C434">
        <v>54046351</v>
      </c>
      <c r="D434">
        <v>29521757</v>
      </c>
      <c r="E434">
        <v>29506949</v>
      </c>
      <c r="F434">
        <v>1</v>
      </c>
      <c r="G434">
        <v>29506949</v>
      </c>
      <c r="H434">
        <v>3</v>
      </c>
      <c r="I434" t="s">
        <v>965</v>
      </c>
      <c r="J434" t="s">
        <v>3</v>
      </c>
      <c r="K434" t="s">
        <v>966</v>
      </c>
      <c r="L434">
        <v>1301</v>
      </c>
      <c r="N434">
        <v>1003</v>
      </c>
      <c r="O434" t="s">
        <v>125</v>
      </c>
      <c r="P434" t="s">
        <v>125</v>
      </c>
      <c r="Q434">
        <v>1</v>
      </c>
      <c r="X434">
        <v>429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 t="s">
        <v>3</v>
      </c>
      <c r="AG434">
        <v>429</v>
      </c>
      <c r="AH434">
        <v>3</v>
      </c>
      <c r="AI434">
        <v>-1</v>
      </c>
      <c r="AJ434" t="s">
        <v>3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</row>
    <row r="435" spans="1:44" x14ac:dyDescent="0.2">
      <c r="A435">
        <f>ROW(Source!A312)</f>
        <v>312</v>
      </c>
      <c r="B435">
        <v>54046371</v>
      </c>
      <c r="C435">
        <v>54046351</v>
      </c>
      <c r="D435">
        <v>29521757</v>
      </c>
      <c r="E435">
        <v>29506949</v>
      </c>
      <c r="F435">
        <v>1</v>
      </c>
      <c r="G435">
        <v>29506949</v>
      </c>
      <c r="H435">
        <v>3</v>
      </c>
      <c r="I435" t="s">
        <v>965</v>
      </c>
      <c r="J435" t="s">
        <v>3</v>
      </c>
      <c r="K435" t="s">
        <v>967</v>
      </c>
      <c r="L435">
        <v>1301</v>
      </c>
      <c r="N435">
        <v>1003</v>
      </c>
      <c r="O435" t="s">
        <v>125</v>
      </c>
      <c r="P435" t="s">
        <v>125</v>
      </c>
      <c r="Q435">
        <v>1</v>
      </c>
      <c r="X435">
        <v>67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 t="s">
        <v>3</v>
      </c>
      <c r="AG435">
        <v>67</v>
      </c>
      <c r="AH435">
        <v>3</v>
      </c>
      <c r="AI435">
        <v>-1</v>
      </c>
      <c r="AJ435" t="s">
        <v>3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</row>
    <row r="436" spans="1:44" x14ac:dyDescent="0.2">
      <c r="A436">
        <f>ROW(Source!A312)</f>
        <v>312</v>
      </c>
      <c r="B436">
        <v>54046372</v>
      </c>
      <c r="C436">
        <v>54046351</v>
      </c>
      <c r="D436">
        <v>29521729</v>
      </c>
      <c r="E436">
        <v>29506949</v>
      </c>
      <c r="F436">
        <v>1</v>
      </c>
      <c r="G436">
        <v>29506949</v>
      </c>
      <c r="H436">
        <v>3</v>
      </c>
      <c r="I436" t="s">
        <v>968</v>
      </c>
      <c r="J436" t="s">
        <v>3</v>
      </c>
      <c r="K436" t="s">
        <v>969</v>
      </c>
      <c r="L436">
        <v>1327</v>
      </c>
      <c r="N436">
        <v>1005</v>
      </c>
      <c r="O436" t="s">
        <v>100</v>
      </c>
      <c r="P436" t="s">
        <v>100</v>
      </c>
      <c r="Q436">
        <v>1</v>
      </c>
      <c r="X436">
        <v>100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 t="s">
        <v>3</v>
      </c>
      <c r="AG436">
        <v>100</v>
      </c>
      <c r="AH436">
        <v>3</v>
      </c>
      <c r="AI436">
        <v>-1</v>
      </c>
      <c r="AJ436" t="s">
        <v>3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</row>
    <row r="437" spans="1:44" x14ac:dyDescent="0.2">
      <c r="A437">
        <f>ROW(Source!A312)</f>
        <v>312</v>
      </c>
      <c r="B437">
        <v>54046373</v>
      </c>
      <c r="C437">
        <v>54046351</v>
      </c>
      <c r="D437">
        <v>29521990</v>
      </c>
      <c r="E437">
        <v>29506949</v>
      </c>
      <c r="F437">
        <v>1</v>
      </c>
      <c r="G437">
        <v>29506949</v>
      </c>
      <c r="H437">
        <v>3</v>
      </c>
      <c r="I437" t="s">
        <v>970</v>
      </c>
      <c r="J437" t="s">
        <v>3</v>
      </c>
      <c r="K437" t="s">
        <v>971</v>
      </c>
      <c r="L437">
        <v>1301</v>
      </c>
      <c r="N437">
        <v>1003</v>
      </c>
      <c r="O437" t="s">
        <v>125</v>
      </c>
      <c r="P437" t="s">
        <v>125</v>
      </c>
      <c r="Q437">
        <v>1</v>
      </c>
      <c r="X437">
        <v>271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 t="s">
        <v>3</v>
      </c>
      <c r="AG437">
        <v>271</v>
      </c>
      <c r="AH437">
        <v>3</v>
      </c>
      <c r="AI437">
        <v>-1</v>
      </c>
      <c r="AJ437" t="s">
        <v>3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</row>
    <row r="438" spans="1:44" x14ac:dyDescent="0.2">
      <c r="A438">
        <f>ROW(Source!A317)</f>
        <v>317</v>
      </c>
      <c r="B438">
        <v>54046384</v>
      </c>
      <c r="C438">
        <v>54046378</v>
      </c>
      <c r="D438">
        <v>29506954</v>
      </c>
      <c r="E438">
        <v>29506949</v>
      </c>
      <c r="F438">
        <v>1</v>
      </c>
      <c r="G438">
        <v>29506949</v>
      </c>
      <c r="H438">
        <v>1</v>
      </c>
      <c r="I438" t="s">
        <v>638</v>
      </c>
      <c r="J438" t="s">
        <v>3</v>
      </c>
      <c r="K438" t="s">
        <v>639</v>
      </c>
      <c r="L438">
        <v>1191</v>
      </c>
      <c r="N438">
        <v>1013</v>
      </c>
      <c r="O438" t="s">
        <v>640</v>
      </c>
      <c r="P438" t="s">
        <v>640</v>
      </c>
      <c r="Q438">
        <v>1</v>
      </c>
      <c r="X438">
        <v>19.5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1</v>
      </c>
      <c r="AE438">
        <v>1</v>
      </c>
      <c r="AF438" t="s">
        <v>52</v>
      </c>
      <c r="AG438">
        <v>22.424999999999997</v>
      </c>
      <c r="AH438">
        <v>2</v>
      </c>
      <c r="AI438">
        <v>54046379</v>
      </c>
      <c r="AJ438">
        <v>324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</row>
    <row r="439" spans="1:44" x14ac:dyDescent="0.2">
      <c r="A439">
        <f>ROW(Source!A317)</f>
        <v>317</v>
      </c>
      <c r="B439">
        <v>54046385</v>
      </c>
      <c r="C439">
        <v>54046378</v>
      </c>
      <c r="D439">
        <v>29580491</v>
      </c>
      <c r="E439">
        <v>1</v>
      </c>
      <c r="F439">
        <v>1</v>
      </c>
      <c r="G439">
        <v>29506949</v>
      </c>
      <c r="H439">
        <v>2</v>
      </c>
      <c r="I439" t="s">
        <v>650</v>
      </c>
      <c r="J439" t="s">
        <v>651</v>
      </c>
      <c r="K439" t="s">
        <v>652</v>
      </c>
      <c r="L439">
        <v>1368</v>
      </c>
      <c r="N439">
        <v>1011</v>
      </c>
      <c r="O439" t="s">
        <v>647</v>
      </c>
      <c r="P439" t="s">
        <v>647</v>
      </c>
      <c r="Q439">
        <v>1</v>
      </c>
      <c r="X439">
        <v>0.17</v>
      </c>
      <c r="Y439">
        <v>0</v>
      </c>
      <c r="Z439">
        <v>83.1</v>
      </c>
      <c r="AA439">
        <v>12.62</v>
      </c>
      <c r="AB439">
        <v>0</v>
      </c>
      <c r="AC439">
        <v>0</v>
      </c>
      <c r="AD439">
        <v>1</v>
      </c>
      <c r="AE439">
        <v>0</v>
      </c>
      <c r="AF439" t="s">
        <v>51</v>
      </c>
      <c r="AG439">
        <v>0.21250000000000002</v>
      </c>
      <c r="AH439">
        <v>2</v>
      </c>
      <c r="AI439">
        <v>54046380</v>
      </c>
      <c r="AJ439">
        <v>325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</row>
    <row r="440" spans="1:44" x14ac:dyDescent="0.2">
      <c r="A440">
        <f>ROW(Source!A317)</f>
        <v>317</v>
      </c>
      <c r="B440">
        <v>54046386</v>
      </c>
      <c r="C440">
        <v>54046378</v>
      </c>
      <c r="D440">
        <v>29556153</v>
      </c>
      <c r="E440">
        <v>1</v>
      </c>
      <c r="F440">
        <v>1</v>
      </c>
      <c r="G440">
        <v>29506949</v>
      </c>
      <c r="H440">
        <v>3</v>
      </c>
      <c r="I440" t="s">
        <v>841</v>
      </c>
      <c r="J440" t="s">
        <v>842</v>
      </c>
      <c r="K440" t="s">
        <v>843</v>
      </c>
      <c r="L440">
        <v>1296</v>
      </c>
      <c r="N440">
        <v>1002</v>
      </c>
      <c r="O440" t="s">
        <v>154</v>
      </c>
      <c r="P440" t="s">
        <v>154</v>
      </c>
      <c r="Q440">
        <v>1</v>
      </c>
      <c r="X440">
        <v>33.979999999999997</v>
      </c>
      <c r="Y440">
        <v>54.7</v>
      </c>
      <c r="Z440">
        <v>0</v>
      </c>
      <c r="AA440">
        <v>0</v>
      </c>
      <c r="AB440">
        <v>0</v>
      </c>
      <c r="AC440">
        <v>0</v>
      </c>
      <c r="AD440">
        <v>1</v>
      </c>
      <c r="AE440">
        <v>0</v>
      </c>
      <c r="AF440" t="s">
        <v>3</v>
      </c>
      <c r="AG440">
        <v>33.979999999999997</v>
      </c>
      <c r="AH440">
        <v>2</v>
      </c>
      <c r="AI440">
        <v>54046381</v>
      </c>
      <c r="AJ440">
        <v>326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</row>
    <row r="441" spans="1:44" x14ac:dyDescent="0.2">
      <c r="A441">
        <f>ROW(Source!A317)</f>
        <v>317</v>
      </c>
      <c r="B441">
        <v>54046387</v>
      </c>
      <c r="C441">
        <v>54046378</v>
      </c>
      <c r="D441">
        <v>29522039</v>
      </c>
      <c r="E441">
        <v>29506949</v>
      </c>
      <c r="F441">
        <v>1</v>
      </c>
      <c r="G441">
        <v>29506949</v>
      </c>
      <c r="H441">
        <v>3</v>
      </c>
      <c r="I441" t="s">
        <v>972</v>
      </c>
      <c r="J441" t="s">
        <v>3</v>
      </c>
      <c r="K441" t="s">
        <v>973</v>
      </c>
      <c r="L441">
        <v>1301</v>
      </c>
      <c r="N441">
        <v>1003</v>
      </c>
      <c r="O441" t="s">
        <v>125</v>
      </c>
      <c r="P441" t="s">
        <v>125</v>
      </c>
      <c r="Q441">
        <v>1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 t="s">
        <v>3</v>
      </c>
      <c r="AG441">
        <v>0</v>
      </c>
      <c r="AH441">
        <v>3</v>
      </c>
      <c r="AI441">
        <v>-1</v>
      </c>
      <c r="AJ441" t="s">
        <v>3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</row>
    <row r="442" spans="1:44" x14ac:dyDescent="0.2">
      <c r="A442">
        <f>ROW(Source!A317)</f>
        <v>317</v>
      </c>
      <c r="B442">
        <v>54046388</v>
      </c>
      <c r="C442">
        <v>54046378</v>
      </c>
      <c r="D442">
        <v>29522001</v>
      </c>
      <c r="E442">
        <v>29506949</v>
      </c>
      <c r="F442">
        <v>1</v>
      </c>
      <c r="G442">
        <v>29506949</v>
      </c>
      <c r="H442">
        <v>3</v>
      </c>
      <c r="I442" t="s">
        <v>974</v>
      </c>
      <c r="J442" t="s">
        <v>3</v>
      </c>
      <c r="K442" t="s">
        <v>975</v>
      </c>
      <c r="L442">
        <v>1354</v>
      </c>
      <c r="N442">
        <v>1010</v>
      </c>
      <c r="O442" t="s">
        <v>536</v>
      </c>
      <c r="P442" t="s">
        <v>536</v>
      </c>
      <c r="Q442">
        <v>1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 t="s">
        <v>3</v>
      </c>
      <c r="AG442">
        <v>0</v>
      </c>
      <c r="AH442">
        <v>3</v>
      </c>
      <c r="AI442">
        <v>-1</v>
      </c>
      <c r="AJ442" t="s">
        <v>3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</row>
    <row r="443" spans="1:44" x14ac:dyDescent="0.2">
      <c r="A443">
        <f>ROW(Source!A320)</f>
        <v>320</v>
      </c>
      <c r="B443">
        <v>54046395</v>
      </c>
      <c r="C443">
        <v>54046391</v>
      </c>
      <c r="D443">
        <v>29506954</v>
      </c>
      <c r="E443">
        <v>29506949</v>
      </c>
      <c r="F443">
        <v>1</v>
      </c>
      <c r="G443">
        <v>29506949</v>
      </c>
      <c r="H443">
        <v>1</v>
      </c>
      <c r="I443" t="s">
        <v>638</v>
      </c>
      <c r="J443" t="s">
        <v>3</v>
      </c>
      <c r="K443" t="s">
        <v>639</v>
      </c>
      <c r="L443">
        <v>1191</v>
      </c>
      <c r="N443">
        <v>1013</v>
      </c>
      <c r="O443" t="s">
        <v>640</v>
      </c>
      <c r="P443" t="s">
        <v>640</v>
      </c>
      <c r="Q443">
        <v>1</v>
      </c>
      <c r="X443">
        <v>385.2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1</v>
      </c>
      <c r="AE443">
        <v>1</v>
      </c>
      <c r="AF443" t="s">
        <v>3</v>
      </c>
      <c r="AG443">
        <v>385.2</v>
      </c>
      <c r="AH443">
        <v>2</v>
      </c>
      <c r="AI443">
        <v>54046392</v>
      </c>
      <c r="AJ443">
        <v>329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</row>
    <row r="444" spans="1:44" x14ac:dyDescent="0.2">
      <c r="A444">
        <f>ROW(Source!A320)</f>
        <v>320</v>
      </c>
      <c r="B444">
        <v>54046396</v>
      </c>
      <c r="C444">
        <v>54046391</v>
      </c>
      <c r="D444">
        <v>29519950</v>
      </c>
      <c r="E444">
        <v>29506949</v>
      </c>
      <c r="F444">
        <v>1</v>
      </c>
      <c r="G444">
        <v>29506949</v>
      </c>
      <c r="H444">
        <v>3</v>
      </c>
      <c r="I444" t="s">
        <v>855</v>
      </c>
      <c r="J444" t="s">
        <v>3</v>
      </c>
      <c r="K444" t="s">
        <v>964</v>
      </c>
      <c r="L444">
        <v>1339</v>
      </c>
      <c r="N444">
        <v>1007</v>
      </c>
      <c r="O444" t="s">
        <v>70</v>
      </c>
      <c r="P444" t="s">
        <v>70</v>
      </c>
      <c r="Q444">
        <v>1</v>
      </c>
      <c r="X444">
        <v>4.4000000000000004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 t="s">
        <v>3</v>
      </c>
      <c r="AG444">
        <v>4.4000000000000004</v>
      </c>
      <c r="AH444">
        <v>3</v>
      </c>
      <c r="AI444">
        <v>-1</v>
      </c>
      <c r="AJ444" t="s">
        <v>3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</row>
    <row r="445" spans="1:44" x14ac:dyDescent="0.2">
      <c r="A445">
        <f>ROW(Source!A320)</f>
        <v>320</v>
      </c>
      <c r="B445">
        <v>54046397</v>
      </c>
      <c r="C445">
        <v>54046391</v>
      </c>
      <c r="D445">
        <v>52542855</v>
      </c>
      <c r="E445">
        <v>29506949</v>
      </c>
      <c r="F445">
        <v>1</v>
      </c>
      <c r="G445">
        <v>29506949</v>
      </c>
      <c r="H445">
        <v>3</v>
      </c>
      <c r="I445" t="s">
        <v>648</v>
      </c>
      <c r="J445" t="s">
        <v>3</v>
      </c>
      <c r="K445" t="s">
        <v>649</v>
      </c>
      <c r="L445">
        <v>1348</v>
      </c>
      <c r="N445">
        <v>1009</v>
      </c>
      <c r="O445" t="s">
        <v>75</v>
      </c>
      <c r="P445" t="s">
        <v>75</v>
      </c>
      <c r="Q445">
        <v>1000</v>
      </c>
      <c r="X445">
        <v>8.1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1</v>
      </c>
      <c r="AE445">
        <v>0</v>
      </c>
      <c r="AF445" t="s">
        <v>3</v>
      </c>
      <c r="AG445">
        <v>8.1</v>
      </c>
      <c r="AH445">
        <v>2</v>
      </c>
      <c r="AI445">
        <v>54046394</v>
      </c>
      <c r="AJ445">
        <v>331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</row>
    <row r="446" spans="1:44" x14ac:dyDescent="0.2">
      <c r="A446">
        <f>ROW(Source!A322)</f>
        <v>322</v>
      </c>
      <c r="B446">
        <v>54046407</v>
      </c>
      <c r="C446">
        <v>54046399</v>
      </c>
      <c r="D446">
        <v>29506954</v>
      </c>
      <c r="E446">
        <v>29506949</v>
      </c>
      <c r="F446">
        <v>1</v>
      </c>
      <c r="G446">
        <v>29506949</v>
      </c>
      <c r="H446">
        <v>1</v>
      </c>
      <c r="I446" t="s">
        <v>638</v>
      </c>
      <c r="J446" t="s">
        <v>3</v>
      </c>
      <c r="K446" t="s">
        <v>639</v>
      </c>
      <c r="L446">
        <v>1191</v>
      </c>
      <c r="N446">
        <v>1013</v>
      </c>
      <c r="O446" t="s">
        <v>640</v>
      </c>
      <c r="P446" t="s">
        <v>640</v>
      </c>
      <c r="Q446">
        <v>1</v>
      </c>
      <c r="X446">
        <v>43.56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1</v>
      </c>
      <c r="AE446">
        <v>1</v>
      </c>
      <c r="AF446" t="s">
        <v>52</v>
      </c>
      <c r="AG446">
        <v>50.094000000000001</v>
      </c>
      <c r="AH446">
        <v>2</v>
      </c>
      <c r="AI446">
        <v>54046400</v>
      </c>
      <c r="AJ446">
        <v>332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</row>
    <row r="447" spans="1:44" x14ac:dyDescent="0.2">
      <c r="A447">
        <f>ROW(Source!A322)</f>
        <v>322</v>
      </c>
      <c r="B447">
        <v>54046408</v>
      </c>
      <c r="C447">
        <v>54046399</v>
      </c>
      <c r="D447">
        <v>29580491</v>
      </c>
      <c r="E447">
        <v>1</v>
      </c>
      <c r="F447">
        <v>1</v>
      </c>
      <c r="G447">
        <v>29506949</v>
      </c>
      <c r="H447">
        <v>2</v>
      </c>
      <c r="I447" t="s">
        <v>650</v>
      </c>
      <c r="J447" t="s">
        <v>651</v>
      </c>
      <c r="K447" t="s">
        <v>652</v>
      </c>
      <c r="L447">
        <v>1368</v>
      </c>
      <c r="N447">
        <v>1011</v>
      </c>
      <c r="O447" t="s">
        <v>647</v>
      </c>
      <c r="P447" t="s">
        <v>647</v>
      </c>
      <c r="Q447">
        <v>1</v>
      </c>
      <c r="X447">
        <v>0.15</v>
      </c>
      <c r="Y447">
        <v>0</v>
      </c>
      <c r="Z447">
        <v>83.1</v>
      </c>
      <c r="AA447">
        <v>12.62</v>
      </c>
      <c r="AB447">
        <v>0</v>
      </c>
      <c r="AC447">
        <v>0</v>
      </c>
      <c r="AD447">
        <v>1</v>
      </c>
      <c r="AE447">
        <v>0</v>
      </c>
      <c r="AF447" t="s">
        <v>51</v>
      </c>
      <c r="AG447">
        <v>0.1875</v>
      </c>
      <c r="AH447">
        <v>2</v>
      </c>
      <c r="AI447">
        <v>54046401</v>
      </c>
      <c r="AJ447">
        <v>333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</row>
    <row r="448" spans="1:44" x14ac:dyDescent="0.2">
      <c r="A448">
        <f>ROW(Source!A322)</f>
        <v>322</v>
      </c>
      <c r="B448">
        <v>54046409</v>
      </c>
      <c r="C448">
        <v>54046399</v>
      </c>
      <c r="D448">
        <v>29555595</v>
      </c>
      <c r="E448">
        <v>1</v>
      </c>
      <c r="F448">
        <v>1</v>
      </c>
      <c r="G448">
        <v>29506949</v>
      </c>
      <c r="H448">
        <v>3</v>
      </c>
      <c r="I448" t="s">
        <v>656</v>
      </c>
      <c r="J448" t="s">
        <v>657</v>
      </c>
      <c r="K448" t="s">
        <v>658</v>
      </c>
      <c r="L448">
        <v>1346</v>
      </c>
      <c r="N448">
        <v>1009</v>
      </c>
      <c r="O448" t="s">
        <v>58</v>
      </c>
      <c r="P448" t="s">
        <v>58</v>
      </c>
      <c r="Q448">
        <v>1</v>
      </c>
      <c r="X448">
        <v>0.31</v>
      </c>
      <c r="Y448">
        <v>1.61</v>
      </c>
      <c r="Z448">
        <v>0</v>
      </c>
      <c r="AA448">
        <v>0</v>
      </c>
      <c r="AB448">
        <v>0</v>
      </c>
      <c r="AC448">
        <v>0</v>
      </c>
      <c r="AD448">
        <v>1</v>
      </c>
      <c r="AE448">
        <v>0</v>
      </c>
      <c r="AF448" t="s">
        <v>3</v>
      </c>
      <c r="AG448">
        <v>0.31</v>
      </c>
      <c r="AH448">
        <v>2</v>
      </c>
      <c r="AI448">
        <v>54046402</v>
      </c>
      <c r="AJ448">
        <v>334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</row>
    <row r="449" spans="1:44" x14ac:dyDescent="0.2">
      <c r="A449">
        <f>ROW(Source!A322)</f>
        <v>322</v>
      </c>
      <c r="B449">
        <v>54046410</v>
      </c>
      <c r="C449">
        <v>54046399</v>
      </c>
      <c r="D449">
        <v>29556811</v>
      </c>
      <c r="E449">
        <v>1</v>
      </c>
      <c r="F449">
        <v>1</v>
      </c>
      <c r="G449">
        <v>29506949</v>
      </c>
      <c r="H449">
        <v>3</v>
      </c>
      <c r="I449" t="s">
        <v>659</v>
      </c>
      <c r="J449" t="s">
        <v>660</v>
      </c>
      <c r="K449" t="s">
        <v>661</v>
      </c>
      <c r="L449">
        <v>1327</v>
      </c>
      <c r="N449">
        <v>1005</v>
      </c>
      <c r="O449" t="s">
        <v>100</v>
      </c>
      <c r="P449" t="s">
        <v>100</v>
      </c>
      <c r="Q449">
        <v>1</v>
      </c>
      <c r="X449">
        <v>0.84</v>
      </c>
      <c r="Y449">
        <v>104</v>
      </c>
      <c r="Z449">
        <v>0</v>
      </c>
      <c r="AA449">
        <v>0</v>
      </c>
      <c r="AB449">
        <v>0</v>
      </c>
      <c r="AC449">
        <v>0</v>
      </c>
      <c r="AD449">
        <v>1</v>
      </c>
      <c r="AE449">
        <v>0</v>
      </c>
      <c r="AF449" t="s">
        <v>3</v>
      </c>
      <c r="AG449">
        <v>0.84</v>
      </c>
      <c r="AH449">
        <v>2</v>
      </c>
      <c r="AI449">
        <v>54046403</v>
      </c>
      <c r="AJ449">
        <v>335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</row>
    <row r="450" spans="1:44" x14ac:dyDescent="0.2">
      <c r="A450">
        <f>ROW(Source!A322)</f>
        <v>322</v>
      </c>
      <c r="B450">
        <v>54046411</v>
      </c>
      <c r="C450">
        <v>54046399</v>
      </c>
      <c r="D450">
        <v>29556824</v>
      </c>
      <c r="E450">
        <v>1</v>
      </c>
      <c r="F450">
        <v>1</v>
      </c>
      <c r="G450">
        <v>29506949</v>
      </c>
      <c r="H450">
        <v>3</v>
      </c>
      <c r="I450" t="s">
        <v>662</v>
      </c>
      <c r="J450" t="s">
        <v>663</v>
      </c>
      <c r="K450" t="s">
        <v>664</v>
      </c>
      <c r="L450">
        <v>1348</v>
      </c>
      <c r="N450">
        <v>1009</v>
      </c>
      <c r="O450" t="s">
        <v>75</v>
      </c>
      <c r="P450" t="s">
        <v>75</v>
      </c>
      <c r="Q450">
        <v>1000</v>
      </c>
      <c r="X450">
        <v>5.0999999999999997E-2</v>
      </c>
      <c r="Y450">
        <v>13953.6</v>
      </c>
      <c r="Z450">
        <v>0</v>
      </c>
      <c r="AA450">
        <v>0</v>
      </c>
      <c r="AB450">
        <v>0</v>
      </c>
      <c r="AC450">
        <v>0</v>
      </c>
      <c r="AD450">
        <v>1</v>
      </c>
      <c r="AE450">
        <v>0</v>
      </c>
      <c r="AF450" t="s">
        <v>3</v>
      </c>
      <c r="AG450">
        <v>5.0999999999999997E-2</v>
      </c>
      <c r="AH450">
        <v>2</v>
      </c>
      <c r="AI450">
        <v>54046404</v>
      </c>
      <c r="AJ450">
        <v>336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</row>
    <row r="451" spans="1:44" x14ac:dyDescent="0.2">
      <c r="A451">
        <f>ROW(Source!A322)</f>
        <v>322</v>
      </c>
      <c r="B451">
        <v>54046412</v>
      </c>
      <c r="C451">
        <v>54046399</v>
      </c>
      <c r="D451">
        <v>29522565</v>
      </c>
      <c r="E451">
        <v>29506949</v>
      </c>
      <c r="F451">
        <v>1</v>
      </c>
      <c r="G451">
        <v>29506949</v>
      </c>
      <c r="H451">
        <v>3</v>
      </c>
      <c r="I451" t="s">
        <v>850</v>
      </c>
      <c r="J451" t="s">
        <v>3</v>
      </c>
      <c r="K451" t="s">
        <v>851</v>
      </c>
      <c r="L451">
        <v>1348</v>
      </c>
      <c r="N451">
        <v>1009</v>
      </c>
      <c r="O451" t="s">
        <v>75</v>
      </c>
      <c r="P451" t="s">
        <v>75</v>
      </c>
      <c r="Q451">
        <v>1000</v>
      </c>
      <c r="X451">
        <v>0.02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 t="s">
        <v>3</v>
      </c>
      <c r="AG451">
        <v>0.02</v>
      </c>
      <c r="AH451">
        <v>3</v>
      </c>
      <c r="AI451">
        <v>-1</v>
      </c>
      <c r="AJ451" t="s">
        <v>3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</row>
    <row r="452" spans="1:44" x14ac:dyDescent="0.2">
      <c r="A452">
        <f>ROW(Source!A322)</f>
        <v>322</v>
      </c>
      <c r="B452">
        <v>54046413</v>
      </c>
      <c r="C452">
        <v>54046399</v>
      </c>
      <c r="D452">
        <v>29520951</v>
      </c>
      <c r="E452">
        <v>29506949</v>
      </c>
      <c r="F452">
        <v>1</v>
      </c>
      <c r="G452">
        <v>29506949</v>
      </c>
      <c r="H452">
        <v>3</v>
      </c>
      <c r="I452" t="s">
        <v>857</v>
      </c>
      <c r="J452" t="s">
        <v>3</v>
      </c>
      <c r="K452" t="s">
        <v>870</v>
      </c>
      <c r="L452">
        <v>1346</v>
      </c>
      <c r="N452">
        <v>1009</v>
      </c>
      <c r="O452" t="s">
        <v>58</v>
      </c>
      <c r="P452" t="s">
        <v>58</v>
      </c>
      <c r="Q452">
        <v>1</v>
      </c>
      <c r="X452">
        <v>30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 t="s">
        <v>3</v>
      </c>
      <c r="AG452">
        <v>30</v>
      </c>
      <c r="AH452">
        <v>3</v>
      </c>
      <c r="AI452">
        <v>-1</v>
      </c>
      <c r="AJ452" t="s">
        <v>3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</row>
    <row r="453" spans="1:44" x14ac:dyDescent="0.2">
      <c r="A453">
        <f>ROW(Source!A360)</f>
        <v>360</v>
      </c>
      <c r="B453">
        <v>53861397</v>
      </c>
      <c r="C453">
        <v>53861027</v>
      </c>
      <c r="D453">
        <v>29507683</v>
      </c>
      <c r="E453">
        <v>29506949</v>
      </c>
      <c r="F453">
        <v>1</v>
      </c>
      <c r="G453">
        <v>29506949</v>
      </c>
      <c r="H453">
        <v>2</v>
      </c>
      <c r="I453" t="s">
        <v>641</v>
      </c>
      <c r="J453" t="s">
        <v>3</v>
      </c>
      <c r="K453" t="s">
        <v>642</v>
      </c>
      <c r="L453">
        <v>1344</v>
      </c>
      <c r="N453">
        <v>1008</v>
      </c>
      <c r="O453" t="s">
        <v>643</v>
      </c>
      <c r="P453" t="s">
        <v>643</v>
      </c>
      <c r="Q453">
        <v>1</v>
      </c>
      <c r="X453">
        <v>8.86</v>
      </c>
      <c r="Y453">
        <v>0</v>
      </c>
      <c r="Z453">
        <v>1</v>
      </c>
      <c r="AA453">
        <v>0</v>
      </c>
      <c r="AB453">
        <v>0</v>
      </c>
      <c r="AC453">
        <v>0</v>
      </c>
      <c r="AD453">
        <v>1</v>
      </c>
      <c r="AE453">
        <v>0</v>
      </c>
      <c r="AF453" t="s">
        <v>3</v>
      </c>
      <c r="AG453">
        <v>8.86</v>
      </c>
      <c r="AH453">
        <v>3</v>
      </c>
      <c r="AI453">
        <v>-1</v>
      </c>
      <c r="AJ453" t="s">
        <v>3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</row>
    <row r="454" spans="1:44" x14ac:dyDescent="0.2">
      <c r="A454">
        <f>ROW(Source!A361)</f>
        <v>361</v>
      </c>
      <c r="B454">
        <v>53861398</v>
      </c>
      <c r="C454">
        <v>53861028</v>
      </c>
      <c r="D454">
        <v>29507683</v>
      </c>
      <c r="E454">
        <v>29506949</v>
      </c>
      <c r="F454">
        <v>1</v>
      </c>
      <c r="G454">
        <v>29506949</v>
      </c>
      <c r="H454">
        <v>2</v>
      </c>
      <c r="I454" t="s">
        <v>641</v>
      </c>
      <c r="J454" t="s">
        <v>3</v>
      </c>
      <c r="K454" t="s">
        <v>642</v>
      </c>
      <c r="L454">
        <v>1344</v>
      </c>
      <c r="N454">
        <v>1008</v>
      </c>
      <c r="O454" t="s">
        <v>643</v>
      </c>
      <c r="P454" t="s">
        <v>643</v>
      </c>
      <c r="Q454">
        <v>1</v>
      </c>
      <c r="X454">
        <v>36.39</v>
      </c>
      <c r="Y454">
        <v>0</v>
      </c>
      <c r="Z454">
        <v>1</v>
      </c>
      <c r="AA454">
        <v>0</v>
      </c>
      <c r="AB454">
        <v>0</v>
      </c>
      <c r="AC454">
        <v>0</v>
      </c>
      <c r="AD454">
        <v>1</v>
      </c>
      <c r="AE454">
        <v>0</v>
      </c>
      <c r="AF454" t="s">
        <v>3</v>
      </c>
      <c r="AG454">
        <v>36.39</v>
      </c>
      <c r="AH454">
        <v>3</v>
      </c>
      <c r="AI454">
        <v>-1</v>
      </c>
      <c r="AJ454" t="s">
        <v>3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</row>
    <row r="455" spans="1:44" x14ac:dyDescent="0.2">
      <c r="A455">
        <f>ROW(Source!A362)</f>
        <v>362</v>
      </c>
      <c r="B455">
        <v>53861399</v>
      </c>
      <c r="C455">
        <v>53861029</v>
      </c>
      <c r="D455">
        <v>29507683</v>
      </c>
      <c r="E455">
        <v>29506949</v>
      </c>
      <c r="F455">
        <v>1</v>
      </c>
      <c r="G455">
        <v>29506949</v>
      </c>
      <c r="H455">
        <v>2</v>
      </c>
      <c r="I455" t="s">
        <v>641</v>
      </c>
      <c r="J455" t="s">
        <v>3</v>
      </c>
      <c r="K455" t="s">
        <v>642</v>
      </c>
      <c r="L455">
        <v>1344</v>
      </c>
      <c r="N455">
        <v>1008</v>
      </c>
      <c r="O455" t="s">
        <v>643</v>
      </c>
      <c r="P455" t="s">
        <v>643</v>
      </c>
      <c r="Q455">
        <v>1</v>
      </c>
      <c r="X455">
        <v>31.67</v>
      </c>
      <c r="Y455">
        <v>0</v>
      </c>
      <c r="Z455">
        <v>1</v>
      </c>
      <c r="AA455">
        <v>0</v>
      </c>
      <c r="AB455">
        <v>0</v>
      </c>
      <c r="AC455">
        <v>0</v>
      </c>
      <c r="AD455">
        <v>1</v>
      </c>
      <c r="AE455">
        <v>0</v>
      </c>
      <c r="AF455" t="s">
        <v>3</v>
      </c>
      <c r="AG455">
        <v>31.67</v>
      </c>
      <c r="AH455">
        <v>3</v>
      </c>
      <c r="AI455">
        <v>-1</v>
      </c>
      <c r="AJ455" t="s">
        <v>3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ТСН-2001(с доп.43</vt:lpstr>
      <vt:lpstr>Source</vt:lpstr>
      <vt:lpstr>SourceObSm</vt:lpstr>
      <vt:lpstr>SmtRes</vt:lpstr>
      <vt:lpstr>EtalonRes</vt:lpstr>
      <vt:lpstr>SrcKA</vt:lpstr>
      <vt:lpstr>'Смета по ТСН-2001(с доп.43'!Заголовки_для_печати</vt:lpstr>
      <vt:lpstr>'Смета по ТСН-2001(с доп.43'!Область_печати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Орлова Ирина Сергеевна</cp:lastModifiedBy>
  <cp:lastPrinted>2024-04-15T08:42:02Z</cp:lastPrinted>
  <dcterms:created xsi:type="dcterms:W3CDTF">2024-04-10T13:14:58Z</dcterms:created>
  <dcterms:modified xsi:type="dcterms:W3CDTF">2024-04-15T08:42:06Z</dcterms:modified>
</cp:coreProperties>
</file>